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14cfea82540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い方" sheetId="1" r:id="Rc9dd426c9b894535"/>
    <x:sheet xmlns:r="http://schemas.openxmlformats.org/officeDocument/2006/relationships" name="設定" sheetId="2" r:id="Rc9deecd0efc449b3"/>
    <x:sheet xmlns:r="http://schemas.openxmlformats.org/officeDocument/2006/relationships" name="希望休" sheetId="3" r:id="R114b52f60eb84002"/>
    <x:sheet xmlns:r="http://schemas.openxmlformats.org/officeDocument/2006/relationships" name="勤務案" sheetId="4" r:id="Rde184f726cff48bc"/>
    <x:sheet xmlns:r="http://schemas.openxmlformats.org/officeDocument/2006/relationships" name="割当計算" sheetId="5" r:id="Ra627f8b29e1047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/d"/>
  </x:numFmts>
  <x:fonts count="7">
    <x:font>
      <x:sz val="11"/>
      <x:name val="Carlito"/>
    </x:font>
    <x:font>
      <x:sz val="11"/>
      <x:color rgb="FF173A57"/>
      <x:name val="Yu Gothic"/>
    </x:font>
    <x:font>
      <x:b/>
      <x:sz val="21"/>
      <x:color rgb="FF173A57"/>
      <x:name val="Yu Gothic"/>
    </x:font>
    <x:font>
      <x:sz val="10"/>
      <x:color rgb="FF173A57"/>
      <x:name val="Yu Gothic"/>
    </x:font>
    <x:font>
      <x:sz val="11"/>
      <x:color rgb="FF125CC1"/>
      <x:name val="Yu Gothic"/>
    </x:font>
    <x:font>
      <x:b/>
      <x:sz val="11"/>
      <x:color rgb="FFFFFFFF"/>
      <x:name val="Yu Gothic"/>
    </x:font>
    <x:font>
      <x:b/>
      <x:sz val="11"/>
      <x:color rgb="FF173A57"/>
      <x:name val="Yu Gothic"/>
    </x:font>
  </x:fonts>
  <x:fills count="6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73A57"/>
      </x:patternFill>
    </x:fill>
    <x:fill>
      <x:patternFill patternType="solid">
        <x:fgColor rgb="FFEEF5FB"/>
      </x:patternFill>
    </x:fill>
    <x:fill>
      <x:patternFill patternType="solid">
        <x:fgColor rgb="FFFFFFFF"/>
      </x:patternFill>
    </x:fill>
  </x:fills>
  <x:borders count="1">
    <x:border/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center" vertical="center"/>
    </x:xf>
    <x:xf numFmtId="200" fontId="5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6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9">
    <x:dxf>
      <x:fill>
        <x:patternFill>
          <x:bgColor rgb="FFCFE2F9"/>
        </x:patternFill>
      </x:fill>
    </x:dxf>
    <x:dxf>
      <x:fill>
        <x:patternFill>
          <x:bgColor rgb="FFDFECFB"/>
        </x:patternFill>
      </x:fill>
    </x:dxf>
    <x:dxf>
      <x:fill>
        <x:patternFill>
          <x:bgColor rgb="FFE0F0E6"/>
        </x:patternFill>
      </x:fill>
    </x:dxf>
    <x:dxf>
      <x:fill>
        <x:patternFill>
          <x:bgColor rgb="FFF0E6FA"/>
        </x:patternFill>
      </x:fill>
    </x:dxf>
    <x:dxf>
      <x:fill>
        <x:patternFill>
          <x:bgColor rgb="FFEDF0F4"/>
        </x:patternFill>
      </x:fill>
    </x:dxf>
    <x:dxf>
      <x:fill>
        <x:patternFill>
          <x:bgColor rgb="FFCFE2F9"/>
        </x:patternFill>
      </x:fill>
    </x:dxf>
    <x:dxf>
      <x:fill>
        <x:patternFill>
          <x:bgColor rgb="FFFFF0C3"/>
        </x:patternFill>
      </x:fill>
    </x:dxf>
    <x:dxf>
      <x:font>
        <x:b/>
        <x:color rgb="FFB3261E"/>
      </x:font>
      <x:fill>
        <x:patternFill>
          <x:bgColor rgb="FFFCE5E4"/>
        </x:patternFill>
      </x:fill>
    </x:dxf>
    <x:dxf>
      <x:font>
        <x:b/>
        <x:color rgb="FFB3261E"/>
      </x:font>
      <x:fill>
        <x:patternFill>
          <x:bgColor rgb="FFFCE5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871259d878404e" /><Relationship Type="http://schemas.openxmlformats.org/officeDocument/2006/relationships/theme" Target="/xl/theme/theme1.xml" Id="R0a403c614477467d" /><Relationship Type="http://schemas.openxmlformats.org/officeDocument/2006/relationships/sharedStrings" Target="/xl/sharedStrings.xml" Id="R1759d6e792ac4b1c" /><Relationship Type="http://schemas.openxmlformats.org/officeDocument/2006/relationships/worksheet" Target="/xl/worksheets/sheet1.xml" Id="Rc9dd426c9b894535" /><Relationship Type="http://schemas.openxmlformats.org/officeDocument/2006/relationships/worksheet" Target="/xl/worksheets/sheet2.xml" Id="Rc9deecd0efc449b3" /><Relationship Type="http://schemas.openxmlformats.org/officeDocument/2006/relationships/worksheet" Target="/xl/worksheets/sheet3.xml" Id="R114b52f60eb84002" /><Relationship Type="http://schemas.openxmlformats.org/officeDocument/2006/relationships/worksheet" Target="/xl/worksheets/sheet4.xml" Id="Rde184f726cff48bc" /><Relationship Type="http://schemas.openxmlformats.org/officeDocument/2006/relationships/worksheet" Target="/xl/worksheets/sheet5.xml" Id="Ra627f8b29e1047a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</x:cols>
  <x:sheetData>
    <x:row r="1" ht="25" customHeight="1">
      <x:c r="A1" s="3" t="str">
        <x:v>希望休を反映して、月間の勤務案を作る</x:v>
      </x:c>
      <x:c r="B1" s="3"/>
      <x:c r="C1" s="3"/>
      <x:c r="D1" s="3"/>
      <x:c r="E1" s="3"/>
      <x:c r="F1" s="3"/>
      <x:c r="G1" s="3"/>
      <x:c r="H1" s="3"/>
    </x:row>
    <x:row r="2" ht="25" customHeight="1">
      <x:c r="A2" s="3"/>
      <x:c r="B2" s="3"/>
      <x:c r="C2" s="3"/>
      <x:c r="D2" s="3"/>
      <x:c r="E2" s="3"/>
      <x:c r="F2" s="3"/>
      <x:c r="G2" s="3"/>
      <x:c r="H2" s="3"/>
    </x:row>
    <x:row r="3" ht="24" customHeight="1">
      <x:c r="A3" s="2"/>
      <x:c r="B3" s="2"/>
      <x:c r="C3" s="2"/>
      <x:c r="D3" s="2"/>
      <x:c r="E3" s="2"/>
      <x:c r="F3" s="2"/>
      <x:c r="G3" s="2"/>
      <x:c r="H3" s="2"/>
    </x:row>
    <x:row r="4" ht="24" customHeight="1">
      <x:c r="A4" s="2"/>
      <x:c r="B4" s="2"/>
      <x:c r="C4" s="2"/>
      <x:c r="D4" s="2"/>
      <x:c r="E4" s="2"/>
      <x:c r="F4" s="2"/>
      <x:c r="G4" s="2"/>
      <x:c r="H4" s="2"/>
    </x:row>
    <x:row r="5" ht="23" customHeight="1">
      <x:c r="A5" s="18" t="str">
        <x:v>1｜「設定」で年月・6人の氏名・勤務上限・連勤上限・前月末の連勤を入力。早番／遅番の必要人数も日ごとに設定します。</x:v>
      </x:c>
      <x:c r="B5" s="18"/>
      <x:c r="C5" s="18"/>
      <x:c r="D5" s="18"/>
      <x:c r="E5" s="18"/>
      <x:c r="F5" s="18"/>
      <x:c r="G5" s="18"/>
      <x:c r="H5" s="18"/>
    </x:row>
    <x:row r="6" ht="23" customHeight="1">
      <x:c r="A6" s="18"/>
      <x:c r="B6" s="18"/>
      <x:c r="C6" s="18"/>
      <x:c r="D6" s="18"/>
      <x:c r="E6" s="18"/>
      <x:c r="F6" s="18"/>
      <x:c r="G6" s="18"/>
      <x:c r="H6" s="18"/>
    </x:row>
    <x:row r="7" ht="23" customHeight="1">
      <x:c r="A7" s="20" t="str">
        <x:v>2｜「希望休」で対象月の全員・全日を確認し、「可」または「休」を入力します。空欄・別の記号の人には、その日の勤務を割り当てません。</x:v>
      </x:c>
      <x:c r="B7" s="20"/>
      <x:c r="C7" s="20"/>
      <x:c r="D7" s="20"/>
      <x:c r="E7" s="20"/>
      <x:c r="F7" s="20"/>
      <x:c r="G7" s="20"/>
      <x:c r="H7" s="20"/>
    </x:row>
    <x:row r="8" ht="23" customHeight="1">
      <x:c r="A8" s="20"/>
      <x:c r="B8" s="20"/>
      <x:c r="C8" s="20"/>
      <x:c r="D8" s="20"/>
      <x:c r="E8" s="20"/>
      <x:c r="F8" s="20"/>
      <x:c r="G8" s="20"/>
      <x:c r="H8" s="20"/>
    </x:row>
    <x:row r="9" ht="23" customHeight="1">
      <x:c r="A9" s="18" t="str">
        <x:v>3｜「勤務案」に早番・遅番・休みが自動表示されます。「希休」は希望休、「休」は割当のない日です。表内を手入力で埋める作業は不要です。</x:v>
      </x:c>
      <x:c r="B9" s="18"/>
      <x:c r="C9" s="18"/>
      <x:c r="D9" s="18"/>
      <x:c r="E9" s="18"/>
      <x:c r="F9" s="18"/>
      <x:c r="G9" s="18"/>
      <x:c r="H9" s="18"/>
    </x:row>
    <x:row r="10" ht="23" customHeight="1">
      <x:c r="A10" s="18"/>
      <x:c r="B10" s="18"/>
      <x:c r="C10" s="18"/>
      <x:c r="D10" s="18"/>
      <x:c r="E10" s="18"/>
      <x:c r="F10" s="18"/>
      <x:c r="G10" s="18"/>
      <x:c r="H10" s="18"/>
    </x:row>
    <x:row r="11" ht="23" customHeight="1">
      <x:c r="A11" s="20" t="str">
        <x:v>4｜不足があれば入力や条件を確認し、設定の「優先順」を0〜5で変えて別の案を試せます。必要人数を満たす保証・最適解を探す機能ではありません。</x:v>
      </x:c>
      <x:c r="B11" s="20"/>
      <x:c r="C11" s="20"/>
      <x:c r="D11" s="20"/>
      <x:c r="E11" s="20"/>
      <x:c r="F11" s="20"/>
      <x:c r="G11" s="20"/>
      <x:c r="H11" s="20"/>
    </x:row>
    <x:row r="12" ht="23" customHeight="1">
      <x:c r="A12" s="20"/>
      <x:c r="B12" s="20"/>
      <x:c r="C12" s="20"/>
      <x:c r="D12" s="20"/>
      <x:c r="E12" s="20"/>
      <x:c r="F12" s="20"/>
      <x:c r="G12" s="20"/>
      <x:c r="H12" s="20"/>
    </x:row>
    <x:row r="13" ht="23" customHeight="1">
      <x:c r="A13" s="18" t="str">
        <x:v>5｜同じ条件なら同じ案を表示します。確定時は勤務案を新しいシートへ「値として貼り付け」し、条件変更で確定版が変わらないようにします。</x:v>
      </x:c>
      <x:c r="B13" s="18"/>
      <x:c r="C13" s="18"/>
      <x:c r="D13" s="18"/>
      <x:c r="E13" s="18"/>
      <x:c r="F13" s="18"/>
      <x:c r="G13" s="18"/>
      <x:c r="H13" s="18"/>
    </x:row>
    <x:row r="14" ht="23" customHeight="1">
      <x:c r="A14" s="18"/>
      <x:c r="B14" s="18"/>
      <x:c r="C14" s="18"/>
      <x:c r="D14" s="18"/>
      <x:c r="E14" s="18"/>
      <x:c r="F14" s="18"/>
      <x:c r="G14" s="18"/>
      <x:c r="H14" s="18"/>
    </x:row>
    <x:row r="15" ht="23" customHeight="1">
      <x:c r="A15" s="20" t="str">
        <x:v>6｜6人・早番／遅番に対応するサンプルです。全員が両区分を担当可能な前提。夜勤・資格・時間帯別の可否・公平な回数・労働時間などは別に確認してください。</x:v>
      </x:c>
      <x:c r="B15" s="20"/>
      <x:c r="C15" s="20"/>
      <x:c r="D15" s="20"/>
      <x:c r="E15" s="20"/>
      <x:c r="F15" s="20"/>
      <x:c r="G15" s="20"/>
      <x:c r="H15" s="20"/>
    </x:row>
    <x:row r="16" ht="23" customHeight="1">
      <x:c r="A16" s="20"/>
      <x:c r="B16" s="20"/>
      <x:c r="C16" s="20"/>
      <x:c r="D16" s="20"/>
      <x:c r="E16" s="20"/>
      <x:c r="F16" s="20"/>
      <x:c r="G16" s="20"/>
      <x:c r="H16" s="20"/>
    </x:row>
    <x:row r="17" ht="23" customHeight="1">
      <x:c r="A17" s="18" t="str">
        <x:v>7｜翌月はファイルを複製して年月を変更し、希望休・前月末の連勤・必要人数を更新します。年月変更だけでは入力済みの希望休は消えません。</x:v>
      </x:c>
      <x:c r="B17" s="18"/>
      <x:c r="C17" s="18"/>
      <x:c r="D17" s="18"/>
      <x:c r="E17" s="18"/>
      <x:c r="F17" s="18"/>
      <x:c r="G17" s="18"/>
      <x:c r="H17" s="18"/>
    </x:row>
    <x:row r="18" ht="23" customHeight="1">
      <x:c r="A18" s="18"/>
      <x:c r="B18" s="18"/>
      <x:c r="C18" s="18"/>
      <x:c r="D18" s="18"/>
      <x:c r="E18" s="18"/>
      <x:c r="F18" s="18"/>
      <x:c r="G18" s="18"/>
      <x:c r="H18" s="18"/>
    </x:row>
    <x:row r="19" ht="23" customHeight="1">
      <x:c r="A19" s="20" t="str">
        <x:v>シフトラ編集部｜架空のスタッフを用いた学習・試作用。記事： https://aishift.com/blog/excel-roster-holiday-requests/</x:v>
      </x:c>
      <x:c r="B19" s="20"/>
      <x:c r="C19" s="20"/>
      <x:c r="D19" s="20"/>
      <x:c r="E19" s="20"/>
      <x:c r="F19" s="20"/>
      <x:c r="G19" s="20"/>
      <x:c r="H19" s="20"/>
    </x:row>
    <x:row r="20" ht="23" customHeight="1">
      <x:c r="A20" s="20"/>
      <x:c r="B20" s="20"/>
      <x:c r="C20" s="20"/>
      <x:c r="D20" s="20"/>
      <x:c r="E20" s="20"/>
      <x:c r="F20" s="20"/>
      <x:c r="G20" s="20"/>
      <x:c r="H20" s="20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</x:row>
  </x:sheetData>
  <x:mergeCells>
    <x:mergeCell ref="A1:H2"/>
    <x:mergeCell ref="A5:H6"/>
    <x:mergeCell ref="A7:H8"/>
    <x:mergeCell ref="A9:H10"/>
    <x:mergeCell ref="A11:H12"/>
    <x:mergeCell ref="A13:H14"/>
    <x:mergeCell ref="A15:H16"/>
    <x:mergeCell ref="A17:H18"/>
    <x:mergeCell ref="A19:H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9" hidden="0" customWidth="1"/>
    <x:col min="7" max="7" width="9" hidden="0" customWidth="1"/>
    <x:col min="8" max="8" width="9" hidden="0" customWidth="1"/>
    <x:col min="9" max="9" width="9" hidden="0" customWidth="1"/>
    <x:col min="10" max="10" width="9" hidden="0" customWidth="1"/>
    <x:col min="11" max="11" width="9" hidden="0" customWidth="1"/>
    <x:col min="12" max="12" width="9" hidden="0" customWidth="1"/>
    <x:col min="13" max="13" width="9" hidden="0" customWidth="1"/>
    <x:col min="14" max="14" width="9" hidden="0" customWidth="1"/>
    <x:col min="15" max="15" width="9" hidden="0" customWidth="1"/>
    <x:col min="16" max="16" width="9" hidden="0" customWidth="1"/>
    <x:col min="17" max="17" width="9" hidden="0" customWidth="1"/>
    <x:col min="18" max="18" width="9" hidden="0" customWidth="1"/>
    <x:col min="19" max="19" width="9" hidden="0" customWidth="1"/>
    <x:col min="20" max="20" width="9" hidden="0" customWidth="1"/>
    <x:col min="21" max="21" width="9" hidden="0" customWidth="1"/>
    <x:col min="22" max="22" width="9" hidden="0" customWidth="1"/>
    <x:col min="23" max="23" width="9" hidden="0" customWidth="1"/>
    <x:col min="24" max="24" width="9" hidden="0" customWidth="1"/>
    <x:col min="25" max="25" width="9" hidden="0" customWidth="1"/>
    <x:col min="26" max="26" width="9" hidden="0" customWidth="1"/>
    <x:col min="27" max="27" width="9" hidden="0" customWidth="1"/>
    <x:col min="28" max="28" width="9" hidden="0" customWidth="1"/>
    <x:col min="29" max="29" width="9" hidden="0" customWidth="1"/>
    <x:col min="30" max="30" width="9" hidden="0" customWidth="1"/>
    <x:col min="31" max="31" width="9" hidden="0" customWidth="1"/>
    <x:col min="32" max="32" width="9" hidden="0" customWidth="1"/>
    <x:col min="33" max="33" width="9" hidden="0" customWidth="1"/>
    <x:col min="34" max="34" width="9" hidden="0" customWidth="1"/>
    <x:col min="35" max="35" width="9" hidden="0" customWidth="1"/>
    <x:col min="36" max="36" width="9" hidden="0" customWidth="1"/>
  </x:cols>
  <x:sheetData>
    <x:row r="1" ht="24" customHeight="1">
      <x:c r="A1" s="3" t="str">
        <x:v>希望休から作る月間勤務案｜設定</x:v>
      </x:c>
      <x:c r="B1" s="3"/>
      <x:c r="C1" s="3"/>
      <x:c r="D1" s="3"/>
      <x:c r="E1" s="3"/>
      <x:c r="F1" s="3"/>
      <x:c r="G1" s="3"/>
      <x:c r="H1" s="3"/>
      <x:c r="I1" s="3"/>
      <x:c r="J1" s="3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</x:row>
    <x:row r="2" ht="24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</x:row>
    <x:row r="3" ht="24" customHeight="1">
      <x:c r="A3" s="2" t="str">
        <x:v>年</x:v>
      </x:c>
      <x:c r="B3" s="7" t="n">
        <x:v>2026</x:v>
      </x:c>
      <x:c r="C3" s="2" t="str">
        <x:v>月</x:v>
      </x:c>
      <x:c r="D3" s="7" t="n">
        <x:v>9</x:v>
      </x:c>
      <x:c r="E3" s="2" t="str">
        <x:v>優先順</x:v>
      </x:c>
      <x:c r="F3" s="7" t="n">
        <x:v>0</x:v>
      </x:c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</x:row>
    <x:row r="4" ht="36" customHeight="1">
      <x:c r="A4" s="5" t="str">
        <x:v>黄色のセルを入力。6人・早番と遅番の2区分、各区分0〜2人／日のサンプルです。</x:v>
      </x:c>
      <x:c r="B4" s="5"/>
      <x:c r="C4" s="5"/>
      <x:c r="D4" s="5"/>
      <x:c r="E4" s="5"/>
      <x:c r="F4" s="5"/>
      <x:c r="G4" s="5"/>
      <x:c r="H4" s="5"/>
      <x:c r="I4" s="5"/>
      <x:c r="J4" s="5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</x:row>
    <x:row r="6" ht="28" customHeight="1">
      <x:c r="A6" s="10" t="str">
        <x:v>ID</x:v>
      </x:c>
      <x:c r="B6" s="10" t="str">
        <x:v>スタッフ</x:v>
      </x:c>
      <x:c r="C6" s="10" t="str">
        <x:v>月の勤務上限</x:v>
      </x:c>
      <x:c r="D6" s="10" t="str">
        <x:v>連勤上限</x:v>
      </x:c>
      <x:c r="E6" s="10" t="str">
        <x:v>前月末の連勤</x:v>
      </x:c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  <x:c r="AH6" s="2"/>
      <x:c r="AI6" s="2"/>
      <x:c r="AJ6" s="2"/>
    </x:row>
    <x:row r="7" ht="24" customHeight="1">
      <x:c r="A7" s="2" t="n">
        <x:v>1</x:v>
      </x:c>
      <x:c r="B7" s="7" t="str">
        <x:v>スタッフA</x:v>
      </x:c>
      <x:c r="C7" s="7" t="n">
        <x:v>22</x:v>
      </x:c>
      <x:c r="D7" s="7" t="n">
        <x:v>5</x:v>
      </x:c>
      <x:c r="E7" s="7" t="n">
        <x:v>0</x:v>
      </x:c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  <x:c r="AF7" s="2"/>
      <x:c r="AG7" s="2"/>
      <x:c r="AH7" s="2"/>
      <x:c r="AI7" s="2"/>
      <x:c r="AJ7" s="2"/>
    </x:row>
    <x:row r="8" ht="24" customHeight="1">
      <x:c r="A8" s="2" t="n">
        <x:v>2</x:v>
      </x:c>
      <x:c r="B8" s="7" t="str">
        <x:v>スタッフB</x:v>
      </x:c>
      <x:c r="C8" s="7" t="n">
        <x:v>22</x:v>
      </x:c>
      <x:c r="D8" s="7" t="n">
        <x:v>5</x:v>
      </x:c>
      <x:c r="E8" s="7" t="n">
        <x:v>0</x:v>
      </x:c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  <x:c r="AF8" s="2"/>
      <x:c r="AG8" s="2"/>
      <x:c r="AH8" s="2"/>
      <x:c r="AI8" s="2"/>
      <x:c r="AJ8" s="2"/>
    </x:row>
    <x:row r="9" ht="24" customHeight="1">
      <x:c r="A9" s="2" t="n">
        <x:v>3</x:v>
      </x:c>
      <x:c r="B9" s="7" t="str">
        <x:v>スタッフC</x:v>
      </x:c>
      <x:c r="C9" s="7" t="n">
        <x:v>22</x:v>
      </x:c>
      <x:c r="D9" s="7" t="n">
        <x:v>5</x:v>
      </x:c>
      <x:c r="E9" s="7" t="n">
        <x:v>0</x:v>
      </x:c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  <x:c r="AB9" s="2"/>
      <x:c r="AC9" s="2"/>
      <x:c r="AD9" s="2"/>
      <x:c r="AE9" s="2"/>
      <x:c r="AF9" s="2"/>
      <x:c r="AG9" s="2"/>
      <x:c r="AH9" s="2"/>
      <x:c r="AI9" s="2"/>
      <x:c r="AJ9" s="2"/>
    </x:row>
    <x:row r="10" ht="24" customHeight="1">
      <x:c r="A10" s="2" t="n">
        <x:v>4</x:v>
      </x:c>
      <x:c r="B10" s="7" t="str">
        <x:v>スタッフD</x:v>
      </x:c>
      <x:c r="C10" s="7" t="n">
        <x:v>22</x:v>
      </x:c>
      <x:c r="D10" s="7" t="n">
        <x:v>5</x:v>
      </x:c>
      <x:c r="E10" s="7" t="n">
        <x:v>0</x:v>
      </x:c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  <x:c r="AF10" s="2"/>
      <x:c r="AG10" s="2"/>
      <x:c r="AH10" s="2"/>
      <x:c r="AI10" s="2"/>
      <x:c r="AJ10" s="2"/>
    </x:row>
    <x:row r="11" ht="24" customHeight="1">
      <x:c r="A11" s="2" t="n">
        <x:v>5</x:v>
      </x:c>
      <x:c r="B11" s="7" t="str">
        <x:v>スタッフE</x:v>
      </x:c>
      <x:c r="C11" s="7" t="n">
        <x:v>22</x:v>
      </x:c>
      <x:c r="D11" s="7" t="n">
        <x:v>5</x:v>
      </x:c>
      <x:c r="E11" s="7" t="n">
        <x:v>0</x:v>
      </x:c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  <x:c r="AF11" s="2"/>
      <x:c r="AG11" s="2"/>
      <x:c r="AH11" s="2"/>
      <x:c r="AI11" s="2"/>
      <x:c r="AJ11" s="2"/>
    </x:row>
    <x:row r="12" ht="24" customHeight="1">
      <x:c r="A12" s="2" t="n">
        <x:v>6</x:v>
      </x:c>
      <x:c r="B12" s="7" t="str">
        <x:v>スタッフF</x:v>
      </x:c>
      <x:c r="C12" s="7" t="n">
        <x:v>22</x:v>
      </x:c>
      <x:c r="D12" s="7" t="n">
        <x:v>5</x:v>
      </x:c>
      <x:c r="E12" s="7" t="n">
        <x:v>0</x:v>
      </x:c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  <x:c r="AE12" s="2"/>
      <x:c r="AF12" s="2"/>
      <x:c r="AG12" s="2"/>
      <x:c r="AH12" s="2"/>
      <x:c r="AI12" s="2"/>
      <x:c r="AJ12" s="2"/>
    </x:row>
    <x:row r="13" ht="24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  <x:c r="AF13" s="2"/>
      <x:c r="AG13" s="2"/>
      <x:c r="AH13" s="2"/>
      <x:c r="AI13" s="2"/>
      <x:c r="AJ13" s="2"/>
    </x:row>
    <x:row r="14" ht="24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  <x:c r="AF14" s="2"/>
      <x:c r="AG14" s="2"/>
      <x:c r="AH14" s="2"/>
      <x:c r="AI14" s="2"/>
      <x:c r="AJ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  <x:c r="AF15" s="2"/>
      <x:c r="AG15" s="2"/>
      <x:c r="AH15" s="2"/>
      <x:c r="AI15" s="2"/>
      <x:c r="AJ15" s="2"/>
    </x:row>
    <x:row r="16" ht="28" customHeight="1">
      <x:c r="A16" s="10" t="str">
        <x:v>日付</x:v>
      </x:c>
      <x:c r="B16" s="11" t="n">
        <x:f>IF($B$21&lt;&gt;"入力OK","",IF(1&lt;=DAY(DATE($B$3,$D$3+1,0)),DATE($B$3,$D$3,1),""))</x:f>
        <x:v>46266</x:v>
      </x:c>
      <x:c r="C16" s="11" t="n">
        <x:f>IF($B$21&lt;&gt;"入力OK","",IF(2&lt;=DAY(DATE($B$3,$D$3+1,0)),DATE($B$3,$D$3,2),""))</x:f>
        <x:v>46267</x:v>
      </x:c>
      <x:c r="D16" s="11" t="n">
        <x:f>IF($B$21&lt;&gt;"入力OK","",IF(3&lt;=DAY(DATE($B$3,$D$3+1,0)),DATE($B$3,$D$3,3),""))</x:f>
        <x:v>46268</x:v>
      </x:c>
      <x:c r="E16" s="11" t="n">
        <x:f>IF($B$21&lt;&gt;"入力OK","",IF(4&lt;=DAY(DATE($B$3,$D$3+1,0)),DATE($B$3,$D$3,4),""))</x:f>
        <x:v>46269</x:v>
      </x:c>
      <x:c r="F16" s="11" t="n">
        <x:f>IF($B$21&lt;&gt;"入力OK","",IF(5&lt;=DAY(DATE($B$3,$D$3+1,0)),DATE($B$3,$D$3,5),""))</x:f>
        <x:v>46270</x:v>
      </x:c>
      <x:c r="G16" s="11" t="n">
        <x:f>IF($B$21&lt;&gt;"入力OK","",IF(6&lt;=DAY(DATE($B$3,$D$3+1,0)),DATE($B$3,$D$3,6),""))</x:f>
        <x:v>46271</x:v>
      </x:c>
      <x:c r="H16" s="11" t="n">
        <x:f>IF($B$21&lt;&gt;"入力OK","",IF(7&lt;=DAY(DATE($B$3,$D$3+1,0)),DATE($B$3,$D$3,7),""))</x:f>
        <x:v>46272</x:v>
      </x:c>
      <x:c r="I16" s="11" t="n">
        <x:f>IF($B$21&lt;&gt;"入力OK","",IF(8&lt;=DAY(DATE($B$3,$D$3+1,0)),DATE($B$3,$D$3,8),""))</x:f>
        <x:v>46273</x:v>
      </x:c>
      <x:c r="J16" s="11" t="n">
        <x:f>IF($B$21&lt;&gt;"入力OK","",IF(9&lt;=DAY(DATE($B$3,$D$3+1,0)),DATE($B$3,$D$3,9),""))</x:f>
        <x:v>46274</x:v>
      </x:c>
      <x:c r="K16" s="11" t="n">
        <x:f>IF($B$21&lt;&gt;"入力OK","",IF(10&lt;=DAY(DATE($B$3,$D$3+1,0)),DATE($B$3,$D$3,10),""))</x:f>
        <x:v>46275</x:v>
      </x:c>
      <x:c r="L16" s="11" t="n">
        <x:f>IF($B$21&lt;&gt;"入力OK","",IF(11&lt;=DAY(DATE($B$3,$D$3+1,0)),DATE($B$3,$D$3,11),""))</x:f>
        <x:v>46276</x:v>
      </x:c>
      <x:c r="M16" s="11" t="n">
        <x:f>IF($B$21&lt;&gt;"入力OK","",IF(12&lt;=DAY(DATE($B$3,$D$3+1,0)),DATE($B$3,$D$3,12),""))</x:f>
        <x:v>46277</x:v>
      </x:c>
      <x:c r="N16" s="11" t="n">
        <x:f>IF($B$21&lt;&gt;"入力OK","",IF(13&lt;=DAY(DATE($B$3,$D$3+1,0)),DATE($B$3,$D$3,13),""))</x:f>
        <x:v>46278</x:v>
      </x:c>
      <x:c r="O16" s="11" t="n">
        <x:f>IF($B$21&lt;&gt;"入力OK","",IF(14&lt;=DAY(DATE($B$3,$D$3+1,0)),DATE($B$3,$D$3,14),""))</x:f>
        <x:v>46279</x:v>
      </x:c>
      <x:c r="P16" s="11" t="n">
        <x:f>IF($B$21&lt;&gt;"入力OK","",IF(15&lt;=DAY(DATE($B$3,$D$3+1,0)),DATE($B$3,$D$3,15),""))</x:f>
        <x:v>46280</x:v>
      </x:c>
      <x:c r="Q16" s="11" t="n">
        <x:f>IF($B$21&lt;&gt;"入力OK","",IF(16&lt;=DAY(DATE($B$3,$D$3+1,0)),DATE($B$3,$D$3,16),""))</x:f>
        <x:v>46281</x:v>
      </x:c>
      <x:c r="R16" s="11" t="n">
        <x:f>IF($B$21&lt;&gt;"入力OK","",IF(17&lt;=DAY(DATE($B$3,$D$3+1,0)),DATE($B$3,$D$3,17),""))</x:f>
        <x:v>46282</x:v>
      </x:c>
      <x:c r="S16" s="11" t="n">
        <x:f>IF($B$21&lt;&gt;"入力OK","",IF(18&lt;=DAY(DATE($B$3,$D$3+1,0)),DATE($B$3,$D$3,18),""))</x:f>
        <x:v>46283</x:v>
      </x:c>
      <x:c r="T16" s="11" t="n">
        <x:f>IF($B$21&lt;&gt;"入力OK","",IF(19&lt;=DAY(DATE($B$3,$D$3+1,0)),DATE($B$3,$D$3,19),""))</x:f>
        <x:v>46284</x:v>
      </x:c>
      <x:c r="U16" s="11" t="n">
        <x:f>IF($B$21&lt;&gt;"入力OK","",IF(20&lt;=DAY(DATE($B$3,$D$3+1,0)),DATE($B$3,$D$3,20),""))</x:f>
        <x:v>46285</x:v>
      </x:c>
      <x:c r="V16" s="11" t="n">
        <x:f>IF($B$21&lt;&gt;"入力OK","",IF(21&lt;=DAY(DATE($B$3,$D$3+1,0)),DATE($B$3,$D$3,21),""))</x:f>
        <x:v>46286</x:v>
      </x:c>
      <x:c r="W16" s="11" t="n">
        <x:f>IF($B$21&lt;&gt;"入力OK","",IF(22&lt;=DAY(DATE($B$3,$D$3+1,0)),DATE($B$3,$D$3,22),""))</x:f>
        <x:v>46287</x:v>
      </x:c>
      <x:c r="X16" s="11" t="n">
        <x:f>IF($B$21&lt;&gt;"入力OK","",IF(23&lt;=DAY(DATE($B$3,$D$3+1,0)),DATE($B$3,$D$3,23),""))</x:f>
        <x:v>46288</x:v>
      </x:c>
      <x:c r="Y16" s="11" t="n">
        <x:f>IF($B$21&lt;&gt;"入力OK","",IF(24&lt;=DAY(DATE($B$3,$D$3+1,0)),DATE($B$3,$D$3,24),""))</x:f>
        <x:v>46289</x:v>
      </x:c>
      <x:c r="Z16" s="11" t="n">
        <x:f>IF($B$21&lt;&gt;"入力OK","",IF(25&lt;=DAY(DATE($B$3,$D$3+1,0)),DATE($B$3,$D$3,25),""))</x:f>
        <x:v>46290</x:v>
      </x:c>
      <x:c r="AA16" s="11" t="n">
        <x:f>IF($B$21&lt;&gt;"入力OK","",IF(26&lt;=DAY(DATE($B$3,$D$3+1,0)),DATE($B$3,$D$3,26),""))</x:f>
        <x:v>46291</x:v>
      </x:c>
      <x:c r="AB16" s="11" t="n">
        <x:f>IF($B$21&lt;&gt;"入力OK","",IF(27&lt;=DAY(DATE($B$3,$D$3+1,0)),DATE($B$3,$D$3,27),""))</x:f>
        <x:v>46292</x:v>
      </x:c>
      <x:c r="AC16" s="11" t="n">
        <x:f>IF($B$21&lt;&gt;"入力OK","",IF(28&lt;=DAY(DATE($B$3,$D$3+1,0)),DATE($B$3,$D$3,28),""))</x:f>
        <x:v>46293</x:v>
      </x:c>
      <x:c r="AD16" s="11" t="n">
        <x:f>IF($B$21&lt;&gt;"入力OK","",IF(29&lt;=DAY(DATE($B$3,$D$3+1,0)),DATE($B$3,$D$3,29),""))</x:f>
        <x:v>46294</x:v>
      </x:c>
      <x:c r="AE16" s="11" t="n">
        <x:f>IF($B$21&lt;&gt;"入力OK","",IF(30&lt;=DAY(DATE($B$3,$D$3+1,0)),DATE($B$3,$D$3,30),""))</x:f>
        <x:v>46295</x:v>
      </x:c>
      <x:c r="AF16" s="11" t="str">
        <x:f>IF($B$21&lt;&gt;"入力OK","",IF(31&lt;=DAY(DATE($B$3,$D$3+1,0)),DATE($B$3,$D$3,31),""))</x:f>
      </x:c>
      <x:c r="AG16" s="2"/>
      <x:c r="AH16" s="2"/>
      <x:c r="AI16" s="2"/>
      <x:c r="AJ16" s="2"/>
    </x:row>
    <x:row r="17" ht="24" customHeight="1">
      <x:c r="A17" s="2" t="str">
        <x:v>早番の必要人数</x:v>
      </x:c>
      <x:c r="B17" s="7" t="n">
        <x:v>2</x:v>
      </x:c>
      <x:c r="C17" s="7" t="n">
        <x:v>2</x:v>
      </x:c>
      <x:c r="D17" s="7" t="n">
        <x:v>2</x:v>
      </x:c>
      <x:c r="E17" s="7" t="n">
        <x:v>2</x:v>
      </x:c>
      <x:c r="F17" s="7" t="n">
        <x:v>2</x:v>
      </x:c>
      <x:c r="G17" s="7" t="n">
        <x:v>2</x:v>
      </x:c>
      <x:c r="H17" s="7" t="n">
        <x:v>2</x:v>
      </x:c>
      <x:c r="I17" s="7" t="n">
        <x:v>2</x:v>
      </x:c>
      <x:c r="J17" s="7" t="n">
        <x:v>2</x:v>
      </x:c>
      <x:c r="K17" s="7" t="n">
        <x:v>2</x:v>
      </x:c>
      <x:c r="L17" s="7" t="n">
        <x:v>2</x:v>
      </x:c>
      <x:c r="M17" s="7" t="n">
        <x:v>2</x:v>
      </x:c>
      <x:c r="N17" s="7" t="n">
        <x:v>2</x:v>
      </x:c>
      <x:c r="O17" s="7" t="n">
        <x:v>2</x:v>
      </x:c>
      <x:c r="P17" s="7" t="n">
        <x:v>2</x:v>
      </x:c>
      <x:c r="Q17" s="7" t="n">
        <x:v>2</x:v>
      </x:c>
      <x:c r="R17" s="7" t="n">
        <x:v>2</x:v>
      </x:c>
      <x:c r="S17" s="7" t="n">
        <x:v>2</x:v>
      </x:c>
      <x:c r="T17" s="7" t="n">
        <x:v>2</x:v>
      </x:c>
      <x:c r="U17" s="7" t="n">
        <x:v>2</x:v>
      </x:c>
      <x:c r="V17" s="7" t="n">
        <x:v>2</x:v>
      </x:c>
      <x:c r="W17" s="7" t="n">
        <x:v>2</x:v>
      </x:c>
      <x:c r="X17" s="7" t="n">
        <x:v>2</x:v>
      </x:c>
      <x:c r="Y17" s="7" t="n">
        <x:v>2</x:v>
      </x:c>
      <x:c r="Z17" s="7" t="n">
        <x:v>2</x:v>
      </x:c>
      <x:c r="AA17" s="7" t="n">
        <x:v>2</x:v>
      </x:c>
      <x:c r="AB17" s="7" t="n">
        <x:v>2</x:v>
      </x:c>
      <x:c r="AC17" s="7" t="n">
        <x:v>2</x:v>
      </x:c>
      <x:c r="AD17" s="7" t="n">
        <x:v>2</x:v>
      </x:c>
      <x:c r="AE17" s="7" t="n">
        <x:v>2</x:v>
      </x:c>
      <x:c r="AF17" s="7" t="n">
        <x:v>2</x:v>
      </x:c>
      <x:c r="AG17" s="2"/>
      <x:c r="AH17" s="2"/>
      <x:c r="AI17" s="2"/>
      <x:c r="AJ17" s="2"/>
    </x:row>
    <x:row r="18" ht="24" customHeight="1">
      <x:c r="A18" s="2" t="str">
        <x:v>遅番の必要人数</x:v>
      </x:c>
      <x:c r="B18" s="7" t="n">
        <x:v>2</x:v>
      </x:c>
      <x:c r="C18" s="7" t="n">
        <x:v>2</x:v>
      </x:c>
      <x:c r="D18" s="7" t="n">
        <x:v>2</x:v>
      </x:c>
      <x:c r="E18" s="7" t="n">
        <x:v>2</x:v>
      </x:c>
      <x:c r="F18" s="7" t="n">
        <x:v>2</x:v>
      </x:c>
      <x:c r="G18" s="7" t="n">
        <x:v>2</x:v>
      </x:c>
      <x:c r="H18" s="7" t="n">
        <x:v>2</x:v>
      </x:c>
      <x:c r="I18" s="7" t="n">
        <x:v>2</x:v>
      </x:c>
      <x:c r="J18" s="7" t="n">
        <x:v>2</x:v>
      </x:c>
      <x:c r="K18" s="7" t="n">
        <x:v>2</x:v>
      </x:c>
      <x:c r="L18" s="7" t="n">
        <x:v>2</x:v>
      </x:c>
      <x:c r="M18" s="7" t="n">
        <x:v>2</x:v>
      </x:c>
      <x:c r="N18" s="7" t="n">
        <x:v>2</x:v>
      </x:c>
      <x:c r="O18" s="7" t="n">
        <x:v>2</x:v>
      </x:c>
      <x:c r="P18" s="7" t="n">
        <x:v>2</x:v>
      </x:c>
      <x:c r="Q18" s="7" t="n">
        <x:v>2</x:v>
      </x:c>
      <x:c r="R18" s="7" t="n">
        <x:v>2</x:v>
      </x:c>
      <x:c r="S18" s="7" t="n">
        <x:v>2</x:v>
      </x:c>
      <x:c r="T18" s="7" t="n">
        <x:v>2</x:v>
      </x:c>
      <x:c r="U18" s="7" t="n">
        <x:v>2</x:v>
      </x:c>
      <x:c r="V18" s="7" t="n">
        <x:v>2</x:v>
      </x:c>
      <x:c r="W18" s="7" t="n">
        <x:v>2</x:v>
      </x:c>
      <x:c r="X18" s="7" t="n">
        <x:v>2</x:v>
      </x:c>
      <x:c r="Y18" s="7" t="n">
        <x:v>2</x:v>
      </x:c>
      <x:c r="Z18" s="7" t="n">
        <x:v>2</x:v>
      </x:c>
      <x:c r="AA18" s="7" t="n">
        <x:v>2</x:v>
      </x:c>
      <x:c r="AB18" s="7" t="n">
        <x:v>2</x:v>
      </x:c>
      <x:c r="AC18" s="7" t="n">
        <x:v>2</x:v>
      </x:c>
      <x:c r="AD18" s="7" t="n">
        <x:v>2</x:v>
      </x:c>
      <x:c r="AE18" s="7" t="n">
        <x:v>2</x:v>
      </x:c>
      <x:c r="AF18" s="7" t="n">
        <x:v>2</x:v>
      </x:c>
      <x:c r="AG18" s="2"/>
      <x:c r="AH18" s="2"/>
      <x:c r="AI18" s="2"/>
      <x:c r="AJ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  <x:c r="AF19" s="2"/>
      <x:c r="AG19" s="2"/>
      <x:c r="AH19" s="2"/>
      <x:c r="AI19" s="2"/>
      <x:c r="AJ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  <x:c r="AF20" s="2"/>
      <x:c r="AG20" s="2"/>
      <x:c r="AH20" s="2"/>
      <x:c r="AI20" s="2"/>
      <x:c r="AJ20" s="2"/>
    </x:row>
    <x:row r="21" ht="24" customHeight="1">
      <x:c r="A21" s="2" t="str">
        <x:v>設定チェック</x:v>
      </x:c>
      <x:c r="B21" s="13" t="str">
        <x:f>IF(AND(COUNT(B3,D3,F3)=3,COUNT(C7:E12)=18,COUNT(B17:AF18)=62),IF(AND(COUNT(B3,D3,F3)=3,B3&gt;=2020,B3&lt;=2100,INT(B3)=B3,D3&gt;=1,D3&lt;=12,INT(D3)=D3,F3&gt;=0,F3&lt;=5,INT(F3)=F3,COUNTA(B7:B12)=6,COUNT(C7:E12)=18,MIN(C7:C12)&gt;=0,MAX(C7:C12)&lt;=31,MIN(D7:D12)&gt;=1,MAX(D7:D12)&lt;=7,MIN(E7:E12)&gt;=0,MAX(E7:E12)&lt;=7,COUNT(B17:AF18)=62,MIN(B17:AF18)&gt;=0,MAX(B17:AF18)&lt;=2,INT(C7)=C7,INT(D7)=D7,INT(E7)=E7,INT(C8)=C8,INT(D8)=D8,INT(E8)=E8,INT(C9)=C9,INT(D9)=D9,INT(E9)=E9,INT(C10)=C10,INT(D10)=D10,INT(E10)=E10,INT(C11)=C11,INT(D11)=D11,INT(E11)=E11,INT(C12)=C12,INT(D12)=D12,INT(E12)=E12,INT(B17)=B17,INT(B18)=B18,INT(C17)=C17,INT(C18)=C18,INT(D17)=D17,INT(D18)=D18,INT(E17)=E17,INT(E18)=E18,INT(F17)=F17,INT(F18)=F18,INT(G17)=G17,INT(G18)=G18,INT(H17)=H17,INT(H18)=H18,INT(I17)=I17,INT(I18)=I18,INT(J17)=J17,INT(J18)=J18,INT(K17)=K17,INT(K18)=K18,INT(L17)=L17,INT(L18)=L18,INT(M17)=M17,INT(M18)=M18,INT(N17)=N17,INT(N18)=N18,INT(O17)=O17,INT(O18)=O18,INT(P17)=P17,INT(P18)=P18,INT(Q17)=Q17,INT(Q18)=Q18,INT(R17)=R17,INT(R18)=R18,INT(S17)=S17,INT(S18)=S18,INT(T17)=T17,INT(T18)=T18,INT(U17)=U17,INT(U18)=U18,INT(V17)=V17,INT(V18)=V18,INT(W17)=W17,INT(W18)=W18,INT(X17)=X17,INT(X18)=X18,INT(Y17)=Y17,INT(Y18)=Y18,INT(Z17)=Z17,INT(Z18)=Z18,INT(AA17)=AA17,INT(AA18)=AA18,INT(AB17)=AB17,INT(AB18)=AB18,INT(AC17)=AC17,INT(AC18)=AC18,INT(AD17)=AD17,INT(AD18)=AD18,INT(AE17)=AE17,INT(AE18)=AE18,INT(AF17)=AF17,INT(AF18)=AF18),"入力OK","設定を確認"),"設定を確認")</x:f>
        <x:v>入力OK</x:v>
      </x:c>
      <x:c r="C21" s="13"/>
      <x:c r="D21" s="13"/>
      <x:c r="E21" s="13"/>
      <x:c r="F21" s="13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  <x:c r="AF21" s="2"/>
      <x:c r="AG21" s="2"/>
      <x:c r="AH21" s="2"/>
      <x:c r="AI21" s="2"/>
      <x:c r="AJ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  <x:c r="AF22" s="2"/>
      <x:c r="AG22" s="2"/>
      <x:c r="AH22" s="2"/>
      <x:c r="AI22" s="2"/>
      <x:c r="AJ22" s="2"/>
    </x:row>
    <x:row r="23" ht="24" customHeight="1">
      <x:c r="A23" s="14" t="str">
        <x:v>全員が早番・遅番の両方を担当できる前提です。月上限・連勤上限は例示値であり、法令の基準ではありません。必要人数は日ごとに設定してください。月末に存在しない日付の列は計算対象から外れます。</x:v>
      </x:c>
      <x:c r="B23" s="14"/>
      <x:c r="C23" s="14"/>
      <x:c r="D23" s="14"/>
      <x:c r="E23" s="14"/>
      <x:c r="F23" s="14"/>
      <x:c r="G23" s="14"/>
      <x:c r="H23" s="14"/>
      <x:c r="I23" s="14"/>
      <x:c r="J23" s="14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  <x:c r="AF23" s="2"/>
      <x:c r="AG23" s="2"/>
      <x:c r="AH23" s="2"/>
      <x:c r="AI23" s="2"/>
      <x:c r="AJ23" s="2"/>
    </x:row>
    <x:row r="24" ht="24" customHeight="1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  <x:c r="AF24" s="2"/>
      <x:c r="AG24" s="2"/>
      <x:c r="AH24" s="2"/>
      <x:c r="AI24" s="2"/>
      <x:c r="AJ24" s="2"/>
    </x:row>
    <x:row r="25" ht="24" customHeight="1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  <x:c r="AF25" s="2"/>
      <x:c r="AG25" s="2"/>
      <x:c r="AH25" s="2"/>
      <x:c r="AI25" s="2"/>
      <x:c r="AJ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  <x:c r="AF26" s="2"/>
      <x:c r="AG26" s="2"/>
      <x:c r="AH26" s="2"/>
      <x:c r="AI26" s="2"/>
      <x:c r="AJ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  <x:c r="AH27" s="2"/>
      <x:c r="AI27" s="2"/>
      <x:c r="AJ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  <x:c r="AH28" s="2"/>
      <x:c r="AI28" s="2"/>
      <x:c r="AJ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  <x:c r="AG29" s="2"/>
      <x:c r="AH29" s="2"/>
      <x:c r="AI29" s="2"/>
      <x:c r="AJ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  <x:c r="AG30" s="2"/>
      <x:c r="AH30" s="2"/>
      <x:c r="AI30" s="2"/>
      <x:c r="AJ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  <x:c r="AG31" s="2"/>
      <x:c r="AH31" s="2"/>
      <x:c r="AI31" s="2"/>
      <x:c r="AJ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  <x:c r="AF32" s="2"/>
      <x:c r="AG32" s="2"/>
      <x:c r="AH32" s="2"/>
      <x:c r="AI32" s="2"/>
      <x:c r="AJ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  <x:c r="AG33" s="2"/>
      <x:c r="AH33" s="2"/>
      <x:c r="AI33" s="2"/>
      <x:c r="AJ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  <x:c r="AH34" s="2"/>
      <x:c r="AI34" s="2"/>
      <x:c r="AJ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  <x:c r="AG35" s="2"/>
      <x:c r="AH35" s="2"/>
      <x:c r="AI35" s="2"/>
      <x:c r="AJ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  <x:c r="AG36" s="2"/>
      <x:c r="AH36" s="2"/>
      <x:c r="AI36" s="2"/>
      <x:c r="AJ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  <x:c r="AF37" s="2"/>
      <x:c r="AG37" s="2"/>
      <x:c r="AH37" s="2"/>
      <x:c r="AI37" s="2"/>
      <x:c r="AJ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  <x:c r="AG38" s="2"/>
      <x:c r="AH38" s="2"/>
      <x:c r="AI38" s="2"/>
      <x:c r="AJ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  <x:c r="AF39" s="2"/>
      <x:c r="AG39" s="2"/>
      <x:c r="AH39" s="2"/>
      <x:c r="AI39" s="2"/>
      <x:c r="AJ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  <x:c r="AF40" s="2"/>
      <x:c r="AG40" s="2"/>
      <x:c r="AH40" s="2"/>
      <x:c r="AI40" s="2"/>
      <x:c r="AJ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  <x:c r="AF41" s="2"/>
      <x:c r="AG41" s="2"/>
      <x:c r="AH41" s="2"/>
      <x:c r="AI41" s="2"/>
      <x:c r="AJ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  <x:c r="AF42" s="2"/>
      <x:c r="AG42" s="2"/>
      <x:c r="AH42" s="2"/>
      <x:c r="AI42" s="2"/>
      <x:c r="AJ42" s="2"/>
    </x:row>
  </x:sheetData>
  <x:mergeCells>
    <x:mergeCell ref="A1:J2"/>
    <x:mergeCell ref="A4:J4"/>
    <x:mergeCell ref="B21:F21"/>
    <x:mergeCell ref="A23:J25"/>
  </x:mergeCells>
  <x:dataValidations count="1">
    <x:dataValidation type="list" sqref="B17:AF18">
      <x:formula1>"0,1,2"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3" hidden="0" customWidth="1"/>
    <x:col min="2" max="2" width="9" hidden="0" customWidth="1"/>
    <x:col min="3" max="3" width="9" hidden="0" customWidth="1"/>
    <x:col min="4" max="4" width="9" hidden="0" customWidth="1"/>
    <x:col min="5" max="5" width="9" hidden="0" customWidth="1"/>
    <x:col min="6" max="6" width="9" hidden="0" customWidth="1"/>
    <x:col min="7" max="7" width="9" hidden="0" customWidth="1"/>
    <x:col min="8" max="8" width="9" hidden="0" customWidth="1"/>
    <x:col min="9" max="9" width="9" hidden="0" customWidth="1"/>
    <x:col min="10" max="10" width="9" hidden="0" customWidth="1"/>
    <x:col min="11" max="11" width="9" hidden="0" customWidth="1"/>
    <x:col min="12" max="12" width="9" hidden="0" customWidth="1"/>
    <x:col min="13" max="13" width="9" hidden="0" customWidth="1"/>
    <x:col min="14" max="14" width="9" hidden="0" customWidth="1"/>
    <x:col min="15" max="15" width="9" hidden="0" customWidth="1"/>
    <x:col min="16" max="16" width="9" hidden="0" customWidth="1"/>
    <x:col min="17" max="17" width="9" hidden="0" customWidth="1"/>
    <x:col min="18" max="18" width="9" hidden="0" customWidth="1"/>
    <x:col min="19" max="19" width="9" hidden="0" customWidth="1"/>
    <x:col min="20" max="20" width="9" hidden="0" customWidth="1"/>
    <x:col min="21" max="21" width="9" hidden="0" customWidth="1"/>
    <x:col min="22" max="22" width="9" hidden="0" customWidth="1"/>
    <x:col min="23" max="23" width="9" hidden="0" customWidth="1"/>
    <x:col min="24" max="24" width="9" hidden="0" customWidth="1"/>
    <x:col min="25" max="25" width="9" hidden="0" customWidth="1"/>
    <x:col min="26" max="26" width="9" hidden="0" customWidth="1"/>
    <x:col min="27" max="27" width="9" hidden="0" customWidth="1"/>
    <x:col min="28" max="28" width="9" hidden="0" customWidth="1"/>
    <x:col min="29" max="29" width="9" hidden="0" customWidth="1"/>
    <x:col min="30" max="30" width="9" hidden="0" customWidth="1"/>
    <x:col min="31" max="31" width="9" hidden="0" customWidth="1"/>
    <x:col min="32" max="32" width="9" hidden="0" customWidth="1"/>
    <x:col min="33" max="33" width="9" hidden="0" customWidth="1"/>
    <x:col min="34" max="34" width="9" hidden="0" customWidth="1"/>
    <x:col min="35" max="35" width="9" hidden="0" customWidth="1"/>
    <x:col min="36" max="36" width="9" hidden="0" customWidth="1"/>
  </x:cols>
  <x:sheetData>
    <x:row r="1" ht="24" customHeight="1">
      <x:c r="A1" s="3" t="str">
        <x:v>希望休を入力</x:v>
      </x:c>
      <x:c r="B1" s="3"/>
      <x:c r="C1" s="3"/>
      <x:c r="D1" s="3"/>
      <x:c r="E1" s="3"/>
      <x:c r="F1" s="3"/>
      <x:c r="G1" s="3"/>
      <x:c r="H1" s="3"/>
      <x:c r="I1" s="3"/>
      <x:c r="J1" s="3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</x:row>
    <x:row r="2" ht="24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</x:row>
    <x:row r="4" ht="36" customHeight="1">
      <x:c r="A4" s="5" t="str">
        <x:v>休めない日ではなく、勤務可能なら「可」、休み希望なら「休」。未確認の空欄は割当対象から外れます。</x:v>
      </x:c>
      <x:c r="B4" s="5"/>
      <x:c r="C4" s="5"/>
      <x:c r="D4" s="5"/>
      <x:c r="E4" s="5"/>
      <x:c r="F4" s="5"/>
      <x:c r="G4" s="5"/>
      <x:c r="H4" s="5"/>
      <x:c r="I4" s="5"/>
      <x:c r="J4" s="5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</x:row>
    <x:row r="5" ht="28" customHeight="1">
      <x:c r="A5" s="10" t="str">
        <x:v>スタッフ</x:v>
      </x:c>
      <x:c r="B5" s="11" t="n">
        <x:f>IF('設定'!B16="","",'設定'!B16)</x:f>
        <x:v>46266</x:v>
      </x:c>
      <x:c r="C5" s="11" t="n">
        <x:f>IF('設定'!C16="","",'設定'!C16)</x:f>
        <x:v>46267</x:v>
      </x:c>
      <x:c r="D5" s="11" t="n">
        <x:f>IF('設定'!D16="","",'設定'!D16)</x:f>
        <x:v>46268</x:v>
      </x:c>
      <x:c r="E5" s="11" t="n">
        <x:f>IF('設定'!E16="","",'設定'!E16)</x:f>
        <x:v>46269</x:v>
      </x:c>
      <x:c r="F5" s="11" t="n">
        <x:f>IF('設定'!F16="","",'設定'!F16)</x:f>
        <x:v>46270</x:v>
      </x:c>
      <x:c r="G5" s="11" t="n">
        <x:f>IF('設定'!G16="","",'設定'!G16)</x:f>
        <x:v>46271</x:v>
      </x:c>
      <x:c r="H5" s="11" t="n">
        <x:f>IF('設定'!H16="","",'設定'!H16)</x:f>
        <x:v>46272</x:v>
      </x:c>
      <x:c r="I5" s="11" t="n">
        <x:f>IF('設定'!I16="","",'設定'!I16)</x:f>
        <x:v>46273</x:v>
      </x:c>
      <x:c r="J5" s="11" t="n">
        <x:f>IF('設定'!J16="","",'設定'!J16)</x:f>
        <x:v>46274</x:v>
      </x:c>
      <x:c r="K5" s="11" t="n">
        <x:f>IF('設定'!K16="","",'設定'!K16)</x:f>
        <x:v>46275</x:v>
      </x:c>
      <x:c r="L5" s="11" t="n">
        <x:f>IF('設定'!L16="","",'設定'!L16)</x:f>
        <x:v>46276</x:v>
      </x:c>
      <x:c r="M5" s="11" t="n">
        <x:f>IF('設定'!M16="","",'設定'!M16)</x:f>
        <x:v>46277</x:v>
      </x:c>
      <x:c r="N5" s="11" t="n">
        <x:f>IF('設定'!N16="","",'設定'!N16)</x:f>
        <x:v>46278</x:v>
      </x:c>
      <x:c r="O5" s="11" t="n">
        <x:f>IF('設定'!O16="","",'設定'!O16)</x:f>
        <x:v>46279</x:v>
      </x:c>
      <x:c r="P5" s="11" t="n">
        <x:f>IF('設定'!P16="","",'設定'!P16)</x:f>
        <x:v>46280</x:v>
      </x:c>
      <x:c r="Q5" s="11" t="n">
        <x:f>IF('設定'!Q16="","",'設定'!Q16)</x:f>
        <x:v>46281</x:v>
      </x:c>
      <x:c r="R5" s="11" t="n">
        <x:f>IF('設定'!R16="","",'設定'!R16)</x:f>
        <x:v>46282</x:v>
      </x:c>
      <x:c r="S5" s="11" t="n">
        <x:f>IF('設定'!S16="","",'設定'!S16)</x:f>
        <x:v>46283</x:v>
      </x:c>
      <x:c r="T5" s="11" t="n">
        <x:f>IF('設定'!T16="","",'設定'!T16)</x:f>
        <x:v>46284</x:v>
      </x:c>
      <x:c r="U5" s="11" t="n">
        <x:f>IF('設定'!U16="","",'設定'!U16)</x:f>
        <x:v>46285</x:v>
      </x:c>
      <x:c r="V5" s="11" t="n">
        <x:f>IF('設定'!V16="","",'設定'!V16)</x:f>
        <x:v>46286</x:v>
      </x:c>
      <x:c r="W5" s="11" t="n">
        <x:f>IF('設定'!W16="","",'設定'!W16)</x:f>
        <x:v>46287</x:v>
      </x:c>
      <x:c r="X5" s="11" t="n">
        <x:f>IF('設定'!X16="","",'設定'!X16)</x:f>
        <x:v>46288</x:v>
      </x:c>
      <x:c r="Y5" s="11" t="n">
        <x:f>IF('設定'!Y16="","",'設定'!Y16)</x:f>
        <x:v>46289</x:v>
      </x:c>
      <x:c r="Z5" s="11" t="n">
        <x:f>IF('設定'!Z16="","",'設定'!Z16)</x:f>
        <x:v>46290</x:v>
      </x:c>
      <x:c r="AA5" s="11" t="n">
        <x:f>IF('設定'!AA16="","",'設定'!AA16)</x:f>
        <x:v>46291</x:v>
      </x:c>
      <x:c r="AB5" s="11" t="n">
        <x:f>IF('設定'!AB16="","",'設定'!AB16)</x:f>
        <x:v>46292</x:v>
      </x:c>
      <x:c r="AC5" s="11" t="n">
        <x:f>IF('設定'!AC16="","",'設定'!AC16)</x:f>
        <x:v>46293</x:v>
      </x:c>
      <x:c r="AD5" s="11" t="n">
        <x:f>IF('設定'!AD16="","",'設定'!AD16)</x:f>
        <x:v>46294</x:v>
      </x:c>
      <x:c r="AE5" s="11" t="n">
        <x:f>IF('設定'!AE16="","",'設定'!AE16)</x:f>
        <x:v>46295</x:v>
      </x:c>
      <x:c r="AF5" s="11" t="str">
        <x:f>IF('設定'!AF16="","",'設定'!AF16)</x:f>
      </x:c>
      <x:c r="AG5" s="2"/>
      <x:c r="AH5" s="2"/>
      <x:c r="AI5" s="2"/>
      <x:c r="AJ5" s="2"/>
    </x:row>
    <x:row r="6" ht="28" customHeight="1">
      <x:c r="A6" s="10"/>
      <x:c r="B6" s="10" t="str">
        <x:f>IF(B5="","",CHOOSE(WEEKDAY(B5),"日","月","火","水","木","金","土"))</x:f>
        <x:v>火</x:v>
      </x:c>
      <x:c r="C6" s="10" t="str">
        <x:f>IF(C5="","",CHOOSE(WEEKDAY(C5),"日","月","火","水","木","金","土"))</x:f>
        <x:v>水</x:v>
      </x:c>
      <x:c r="D6" s="10" t="str">
        <x:f>IF(D5="","",CHOOSE(WEEKDAY(D5),"日","月","火","水","木","金","土"))</x:f>
        <x:v>木</x:v>
      </x:c>
      <x:c r="E6" s="10" t="str">
        <x:f>IF(E5="","",CHOOSE(WEEKDAY(E5),"日","月","火","水","木","金","土"))</x:f>
        <x:v>金</x:v>
      </x:c>
      <x:c r="F6" s="10" t="str">
        <x:f>IF(F5="","",CHOOSE(WEEKDAY(F5),"日","月","火","水","木","金","土"))</x:f>
        <x:v>土</x:v>
      </x:c>
      <x:c r="G6" s="10" t="str">
        <x:f>IF(G5="","",CHOOSE(WEEKDAY(G5),"日","月","火","水","木","金","土"))</x:f>
        <x:v>日</x:v>
      </x:c>
      <x:c r="H6" s="10" t="str">
        <x:f>IF(H5="","",CHOOSE(WEEKDAY(H5),"日","月","火","水","木","金","土"))</x:f>
        <x:v>月</x:v>
      </x:c>
      <x:c r="I6" s="10" t="str">
        <x:f>IF(I5="","",CHOOSE(WEEKDAY(I5),"日","月","火","水","木","金","土"))</x:f>
        <x:v>火</x:v>
      </x:c>
      <x:c r="J6" s="10" t="str">
        <x:f>IF(J5="","",CHOOSE(WEEKDAY(J5),"日","月","火","水","木","金","土"))</x:f>
        <x:v>水</x:v>
      </x:c>
      <x:c r="K6" s="10" t="str">
        <x:f>IF(K5="","",CHOOSE(WEEKDAY(K5),"日","月","火","水","木","金","土"))</x:f>
        <x:v>木</x:v>
      </x:c>
      <x:c r="L6" s="10" t="str">
        <x:f>IF(L5="","",CHOOSE(WEEKDAY(L5),"日","月","火","水","木","金","土"))</x:f>
        <x:v>金</x:v>
      </x:c>
      <x:c r="M6" s="10" t="str">
        <x:f>IF(M5="","",CHOOSE(WEEKDAY(M5),"日","月","火","水","木","金","土"))</x:f>
        <x:v>土</x:v>
      </x:c>
      <x:c r="N6" s="10" t="str">
        <x:f>IF(N5="","",CHOOSE(WEEKDAY(N5),"日","月","火","水","木","金","土"))</x:f>
        <x:v>日</x:v>
      </x:c>
      <x:c r="O6" s="10" t="str">
        <x:f>IF(O5="","",CHOOSE(WEEKDAY(O5),"日","月","火","水","木","金","土"))</x:f>
        <x:v>月</x:v>
      </x:c>
      <x:c r="P6" s="10" t="str">
        <x:f>IF(P5="","",CHOOSE(WEEKDAY(P5),"日","月","火","水","木","金","土"))</x:f>
        <x:v>火</x:v>
      </x:c>
      <x:c r="Q6" s="10" t="str">
        <x:f>IF(Q5="","",CHOOSE(WEEKDAY(Q5),"日","月","火","水","木","金","土"))</x:f>
        <x:v>水</x:v>
      </x:c>
      <x:c r="R6" s="10" t="str">
        <x:f>IF(R5="","",CHOOSE(WEEKDAY(R5),"日","月","火","水","木","金","土"))</x:f>
        <x:v>木</x:v>
      </x:c>
      <x:c r="S6" s="10" t="str">
        <x:f>IF(S5="","",CHOOSE(WEEKDAY(S5),"日","月","火","水","木","金","土"))</x:f>
        <x:v>金</x:v>
      </x:c>
      <x:c r="T6" s="10" t="str">
        <x:f>IF(T5="","",CHOOSE(WEEKDAY(T5),"日","月","火","水","木","金","土"))</x:f>
        <x:v>土</x:v>
      </x:c>
      <x:c r="U6" s="10" t="str">
        <x:f>IF(U5="","",CHOOSE(WEEKDAY(U5),"日","月","火","水","木","金","土"))</x:f>
        <x:v>日</x:v>
      </x:c>
      <x:c r="V6" s="10" t="str">
        <x:f>IF(V5="","",CHOOSE(WEEKDAY(V5),"日","月","火","水","木","金","土"))</x:f>
        <x:v>月</x:v>
      </x:c>
      <x:c r="W6" s="10" t="str">
        <x:f>IF(W5="","",CHOOSE(WEEKDAY(W5),"日","月","火","水","木","金","土"))</x:f>
        <x:v>火</x:v>
      </x:c>
      <x:c r="X6" s="10" t="str">
        <x:f>IF(X5="","",CHOOSE(WEEKDAY(X5),"日","月","火","水","木","金","土"))</x:f>
        <x:v>水</x:v>
      </x:c>
      <x:c r="Y6" s="10" t="str">
        <x:f>IF(Y5="","",CHOOSE(WEEKDAY(Y5),"日","月","火","水","木","金","土"))</x:f>
        <x:v>木</x:v>
      </x:c>
      <x:c r="Z6" s="10" t="str">
        <x:f>IF(Z5="","",CHOOSE(WEEKDAY(Z5),"日","月","火","水","木","金","土"))</x:f>
        <x:v>金</x:v>
      </x:c>
      <x:c r="AA6" s="10" t="str">
        <x:f>IF(AA5="","",CHOOSE(WEEKDAY(AA5),"日","月","火","水","木","金","土"))</x:f>
        <x:v>土</x:v>
      </x:c>
      <x:c r="AB6" s="10" t="str">
        <x:f>IF(AB5="","",CHOOSE(WEEKDAY(AB5),"日","月","火","水","木","金","土"))</x:f>
        <x:v>日</x:v>
      </x:c>
      <x:c r="AC6" s="10" t="str">
        <x:f>IF(AC5="","",CHOOSE(WEEKDAY(AC5),"日","月","火","水","木","金","土"))</x:f>
        <x:v>月</x:v>
      </x:c>
      <x:c r="AD6" s="10" t="str">
        <x:f>IF(AD5="","",CHOOSE(WEEKDAY(AD5),"日","月","火","水","木","金","土"))</x:f>
        <x:v>火</x:v>
      </x:c>
      <x:c r="AE6" s="10" t="str">
        <x:f>IF(AE5="","",CHOOSE(WEEKDAY(AE5),"日","月","火","水","木","金","土"))</x:f>
        <x:v>水</x:v>
      </x:c>
      <x:c r="AF6" s="10" t="str">
        <x:f>IF(AF5="","",CHOOSE(WEEKDAY(AF5),"日","月","火","水","木","金","土"))</x:f>
      </x:c>
      <x:c r="AG6" s="2"/>
      <x:c r="AH6" s="2"/>
      <x:c r="AI6" s="2"/>
      <x:c r="AJ6" s="2"/>
    </x:row>
    <x:row r="7" ht="24" customHeight="1">
      <x:c r="A7" s="2" t="str">
        <x:f>'設定'!B7</x:f>
        <x:v>スタッフA</x:v>
      </x:c>
      <x:c r="B7" s="7" t="str">
        <x:v>休</x:v>
      </x:c>
      <x:c r="C7" s="7" t="str">
        <x:v>可</x:v>
      </x:c>
      <x:c r="D7" s="7" t="str">
        <x:v>可</x:v>
      </x:c>
      <x:c r="E7" s="7" t="str">
        <x:v>可</x:v>
      </x:c>
      <x:c r="F7" s="7" t="str">
        <x:v>可</x:v>
      </x:c>
      <x:c r="G7" s="7" t="str">
        <x:v>可</x:v>
      </x:c>
      <x:c r="H7" s="7" t="str">
        <x:v>可</x:v>
      </x:c>
      <x:c r="I7" s="7" t="str">
        <x:v>可</x:v>
      </x:c>
      <x:c r="J7" s="7" t="str">
        <x:v>可</x:v>
      </x:c>
      <x:c r="K7" s="7" t="str">
        <x:v>可</x:v>
      </x:c>
      <x:c r="L7" s="7" t="str">
        <x:v>可</x:v>
      </x:c>
      <x:c r="M7" s="7" t="str">
        <x:v>可</x:v>
      </x:c>
      <x:c r="N7" s="7" t="str">
        <x:v>休</x:v>
      </x:c>
      <x:c r="O7" s="7" t="str">
        <x:v>可</x:v>
      </x:c>
      <x:c r="P7" s="7" t="str">
        <x:v>可</x:v>
      </x:c>
      <x:c r="Q7" s="7" t="str">
        <x:v>可</x:v>
      </x:c>
      <x:c r="R7" s="7" t="str">
        <x:v>可</x:v>
      </x:c>
      <x:c r="S7" s="7" t="str">
        <x:v>可</x:v>
      </x:c>
      <x:c r="T7" s="7" t="str">
        <x:v>可</x:v>
      </x:c>
      <x:c r="U7" s="7" t="str">
        <x:v>可</x:v>
      </x:c>
      <x:c r="V7" s="7" t="str">
        <x:v>可</x:v>
      </x:c>
      <x:c r="W7" s="7" t="str">
        <x:v>可</x:v>
      </x:c>
      <x:c r="X7" s="7" t="str">
        <x:v>可</x:v>
      </x:c>
      <x:c r="Y7" s="7" t="str">
        <x:v>可</x:v>
      </x:c>
      <x:c r="Z7" s="7" t="str">
        <x:v>可</x:v>
      </x:c>
      <x:c r="AA7" s="7" t="str">
        <x:v>可</x:v>
      </x:c>
      <x:c r="AB7" s="7" t="str">
        <x:v>可</x:v>
      </x:c>
      <x:c r="AC7" s="7" t="str">
        <x:v>可</x:v>
      </x:c>
      <x:c r="AD7" s="7" t="str">
        <x:v>可</x:v>
      </x:c>
      <x:c r="AE7" s="7" t="str">
        <x:v>可</x:v>
      </x:c>
      <x:c r="AF7" s="7" t="str">
        <x:v>可</x:v>
      </x:c>
      <x:c r="AG7" s="2"/>
      <x:c r="AH7" s="2"/>
      <x:c r="AI7" s="2"/>
      <x:c r="AJ7" s="2"/>
    </x:row>
    <x:row r="8" ht="24" customHeight="1">
      <x:c r="A8" s="2" t="str">
        <x:f>'設定'!B8</x:f>
        <x:v>スタッフB</x:v>
      </x:c>
      <x:c r="B8" s="7" t="str">
        <x:v>可</x:v>
      </x:c>
      <x:c r="C8" s="7" t="str">
        <x:v>休</x:v>
      </x:c>
      <x:c r="D8" s="7" t="str">
        <x:v>可</x:v>
      </x:c>
      <x:c r="E8" s="7" t="str">
        <x:v>可</x:v>
      </x:c>
      <x:c r="F8" s="7" t="str">
        <x:v>可</x:v>
      </x:c>
      <x:c r="G8" s="7" t="str">
        <x:v>可</x:v>
      </x:c>
      <x:c r="H8" s="7" t="str">
        <x:v>可</x:v>
      </x:c>
      <x:c r="I8" s="7" t="str">
        <x:v>可</x:v>
      </x:c>
      <x:c r="J8" s="7" t="str">
        <x:v>可</x:v>
      </x:c>
      <x:c r="K8" s="7" t="str">
        <x:v>可</x:v>
      </x:c>
      <x:c r="L8" s="7" t="str">
        <x:v>可</x:v>
      </x:c>
      <x:c r="M8" s="7" t="str">
        <x:v>可</x:v>
      </x:c>
      <x:c r="N8" s="7" t="str">
        <x:v>可</x:v>
      </x:c>
      <x:c r="O8" s="7" t="str">
        <x:v>休</x:v>
      </x:c>
      <x:c r="P8" s="7" t="str">
        <x:v>可</x:v>
      </x:c>
      <x:c r="Q8" s="7" t="str">
        <x:v>可</x:v>
      </x:c>
      <x:c r="R8" s="7" t="str">
        <x:v>可</x:v>
      </x:c>
      <x:c r="S8" s="7" t="str">
        <x:v>可</x:v>
      </x:c>
      <x:c r="T8" s="7" t="str">
        <x:v>可</x:v>
      </x:c>
      <x:c r="U8" s="7" t="str">
        <x:v>可</x:v>
      </x:c>
      <x:c r="V8" s="7" t="str">
        <x:v>可</x:v>
      </x:c>
      <x:c r="W8" s="7" t="str">
        <x:v>可</x:v>
      </x:c>
      <x:c r="X8" s="7" t="str">
        <x:v>可</x:v>
      </x:c>
      <x:c r="Y8" s="7" t="str">
        <x:v>可</x:v>
      </x:c>
      <x:c r="Z8" s="7" t="str">
        <x:v>可</x:v>
      </x:c>
      <x:c r="AA8" s="7" t="str">
        <x:v>可</x:v>
      </x:c>
      <x:c r="AB8" s="7" t="str">
        <x:v>可</x:v>
      </x:c>
      <x:c r="AC8" s="7" t="str">
        <x:v>可</x:v>
      </x:c>
      <x:c r="AD8" s="7" t="str">
        <x:v>可</x:v>
      </x:c>
      <x:c r="AE8" s="7" t="str">
        <x:v>可</x:v>
      </x:c>
      <x:c r="AF8" s="7" t="str">
        <x:v>可</x:v>
      </x:c>
      <x:c r="AG8" s="2"/>
      <x:c r="AH8" s="2"/>
      <x:c r="AI8" s="2"/>
      <x:c r="AJ8" s="2"/>
    </x:row>
    <x:row r="9" ht="24" customHeight="1">
      <x:c r="A9" s="2" t="str">
        <x:f>'設定'!B9</x:f>
        <x:v>スタッフC</x:v>
      </x:c>
      <x:c r="B9" s="7" t="str">
        <x:v>可</x:v>
      </x:c>
      <x:c r="C9" s="7" t="str">
        <x:v>可</x:v>
      </x:c>
      <x:c r="D9" s="7" t="str">
        <x:v>休</x:v>
      </x:c>
      <x:c r="E9" s="7" t="str">
        <x:v>可</x:v>
      </x:c>
      <x:c r="F9" s="7" t="str">
        <x:v>可</x:v>
      </x:c>
      <x:c r="G9" s="7" t="str">
        <x:v>可</x:v>
      </x:c>
      <x:c r="H9" s="7" t="str">
        <x:v>可</x:v>
      </x:c>
      <x:c r="I9" s="7" t="str">
        <x:v>可</x:v>
      </x:c>
      <x:c r="J9" s="7" t="str">
        <x:v>可</x:v>
      </x:c>
      <x:c r="K9" s="7" t="str">
        <x:v>可</x:v>
      </x:c>
      <x:c r="L9" s="7" t="str">
        <x:v>可</x:v>
      </x:c>
      <x:c r="M9" s="7" t="str">
        <x:v>可</x:v>
      </x:c>
      <x:c r="N9" s="7" t="str">
        <x:v>可</x:v>
      </x:c>
      <x:c r="O9" s="7" t="str">
        <x:v>可</x:v>
      </x:c>
      <x:c r="P9" s="7" t="str">
        <x:v>休</x:v>
      </x:c>
      <x:c r="Q9" s="7" t="str">
        <x:v>可</x:v>
      </x:c>
      <x:c r="R9" s="7" t="str">
        <x:v>可</x:v>
      </x:c>
      <x:c r="S9" s="7" t="str">
        <x:v>可</x:v>
      </x:c>
      <x:c r="T9" s="7" t="str">
        <x:v>可</x:v>
      </x:c>
      <x:c r="U9" s="7" t="str">
        <x:v>可</x:v>
      </x:c>
      <x:c r="V9" s="7" t="str">
        <x:v>可</x:v>
      </x:c>
      <x:c r="W9" s="7" t="str">
        <x:v>可</x:v>
      </x:c>
      <x:c r="X9" s="7" t="str">
        <x:v>可</x:v>
      </x:c>
      <x:c r="Y9" s="7" t="str">
        <x:v>可</x:v>
      </x:c>
      <x:c r="Z9" s="7" t="str">
        <x:v>可</x:v>
      </x:c>
      <x:c r="AA9" s="7" t="str">
        <x:v>可</x:v>
      </x:c>
      <x:c r="AB9" s="7" t="str">
        <x:v>可</x:v>
      </x:c>
      <x:c r="AC9" s="7" t="str">
        <x:v>可</x:v>
      </x:c>
      <x:c r="AD9" s="7" t="str">
        <x:v>可</x:v>
      </x:c>
      <x:c r="AE9" s="7" t="str">
        <x:v>可</x:v>
      </x:c>
      <x:c r="AF9" s="7" t="str">
        <x:v>可</x:v>
      </x:c>
      <x:c r="AG9" s="2"/>
      <x:c r="AH9" s="2"/>
      <x:c r="AI9" s="2"/>
      <x:c r="AJ9" s="2"/>
    </x:row>
    <x:row r="10" ht="24" customHeight="1">
      <x:c r="A10" s="2" t="str">
        <x:f>'設定'!B10</x:f>
        <x:v>スタッフD</x:v>
      </x:c>
      <x:c r="B10" s="7" t="str">
        <x:v>可</x:v>
      </x:c>
      <x:c r="C10" s="7" t="str">
        <x:v>可</x:v>
      </x:c>
      <x:c r="D10" s="7" t="str">
        <x:v>可</x:v>
      </x:c>
      <x:c r="E10" s="7" t="str">
        <x:v>休</x:v>
      </x:c>
      <x:c r="F10" s="7" t="str">
        <x:v>可</x:v>
      </x:c>
      <x:c r="G10" s="7" t="str">
        <x:v>可</x:v>
      </x:c>
      <x:c r="H10" s="7" t="str">
        <x:v>可</x:v>
      </x:c>
      <x:c r="I10" s="7" t="str">
        <x:v>可</x:v>
      </x:c>
      <x:c r="J10" s="7" t="str">
        <x:v>可</x:v>
      </x:c>
      <x:c r="K10" s="7" t="str">
        <x:v>可</x:v>
      </x:c>
      <x:c r="L10" s="7" t="str">
        <x:v>可</x:v>
      </x:c>
      <x:c r="M10" s="7" t="str">
        <x:v>可</x:v>
      </x:c>
      <x:c r="N10" s="7" t="str">
        <x:v>可</x:v>
      </x:c>
      <x:c r="O10" s="7" t="str">
        <x:v>可</x:v>
      </x:c>
      <x:c r="P10" s="7" t="str">
        <x:v>可</x:v>
      </x:c>
      <x:c r="Q10" s="7" t="str">
        <x:v>休</x:v>
      </x:c>
      <x:c r="R10" s="7" t="str">
        <x:v>可</x:v>
      </x:c>
      <x:c r="S10" s="7" t="str">
        <x:v>可</x:v>
      </x:c>
      <x:c r="T10" s="7" t="str">
        <x:v>可</x:v>
      </x:c>
      <x:c r="U10" s="7" t="str">
        <x:v>可</x:v>
      </x:c>
      <x:c r="V10" s="7" t="str">
        <x:v>可</x:v>
      </x:c>
      <x:c r="W10" s="7" t="str">
        <x:v>可</x:v>
      </x:c>
      <x:c r="X10" s="7" t="str">
        <x:v>可</x:v>
      </x:c>
      <x:c r="Y10" s="7" t="str">
        <x:v>可</x:v>
      </x:c>
      <x:c r="Z10" s="7" t="str">
        <x:v>可</x:v>
      </x:c>
      <x:c r="AA10" s="7" t="str">
        <x:v>可</x:v>
      </x:c>
      <x:c r="AB10" s="7" t="str">
        <x:v>可</x:v>
      </x:c>
      <x:c r="AC10" s="7" t="str">
        <x:v>可</x:v>
      </x:c>
      <x:c r="AD10" s="7" t="str">
        <x:v>可</x:v>
      </x:c>
      <x:c r="AE10" s="7" t="str">
        <x:v>可</x:v>
      </x:c>
      <x:c r="AF10" s="7" t="str">
        <x:v>可</x:v>
      </x:c>
      <x:c r="AG10" s="2"/>
      <x:c r="AH10" s="2"/>
      <x:c r="AI10" s="2"/>
      <x:c r="AJ10" s="2"/>
    </x:row>
    <x:row r="11" ht="24" customHeight="1">
      <x:c r="A11" s="2" t="str">
        <x:f>'設定'!B11</x:f>
        <x:v>スタッフE</x:v>
      </x:c>
      <x:c r="B11" s="7" t="str">
        <x:v>可</x:v>
      </x:c>
      <x:c r="C11" s="7" t="str">
        <x:v>可</x:v>
      </x:c>
      <x:c r="D11" s="7" t="str">
        <x:v>可</x:v>
      </x:c>
      <x:c r="E11" s="7" t="str">
        <x:v>可</x:v>
      </x:c>
      <x:c r="F11" s="7" t="str">
        <x:v>休</x:v>
      </x:c>
      <x:c r="G11" s="7" t="str">
        <x:v>可</x:v>
      </x:c>
      <x:c r="H11" s="7" t="str">
        <x:v>可</x:v>
      </x:c>
      <x:c r="I11" s="7" t="str">
        <x:v>可</x:v>
      </x:c>
      <x:c r="J11" s="7" t="str">
        <x:v>可</x:v>
      </x:c>
      <x:c r="K11" s="7" t="str">
        <x:v>可</x:v>
      </x:c>
      <x:c r="L11" s="7" t="str">
        <x:v>可</x:v>
      </x:c>
      <x:c r="M11" s="7" t="str">
        <x:v>可</x:v>
      </x:c>
      <x:c r="N11" s="7" t="str">
        <x:v>可</x:v>
      </x:c>
      <x:c r="O11" s="7" t="str">
        <x:v>可</x:v>
      </x:c>
      <x:c r="P11" s="7" t="str">
        <x:v>可</x:v>
      </x:c>
      <x:c r="Q11" s="7" t="str">
        <x:v>可</x:v>
      </x:c>
      <x:c r="R11" s="7" t="str">
        <x:v>休</x:v>
      </x:c>
      <x:c r="S11" s="7" t="str">
        <x:v>可</x:v>
      </x:c>
      <x:c r="T11" s="7" t="str">
        <x:v>可</x:v>
      </x:c>
      <x:c r="U11" s="7" t="str">
        <x:v>可</x:v>
      </x:c>
      <x:c r="V11" s="7" t="str">
        <x:v>可</x:v>
      </x:c>
      <x:c r="W11" s="7" t="str">
        <x:v>可</x:v>
      </x:c>
      <x:c r="X11" s="7" t="str">
        <x:v>可</x:v>
      </x:c>
      <x:c r="Y11" s="7" t="str">
        <x:v>可</x:v>
      </x:c>
      <x:c r="Z11" s="7" t="str">
        <x:v>可</x:v>
      </x:c>
      <x:c r="AA11" s="7" t="str">
        <x:v>可</x:v>
      </x:c>
      <x:c r="AB11" s="7" t="str">
        <x:v>可</x:v>
      </x:c>
      <x:c r="AC11" s="7" t="str">
        <x:v>可</x:v>
      </x:c>
      <x:c r="AD11" s="7" t="str">
        <x:v>可</x:v>
      </x:c>
      <x:c r="AE11" s="7" t="str">
        <x:v>可</x:v>
      </x:c>
      <x:c r="AF11" s="7" t="str">
        <x:v>可</x:v>
      </x:c>
      <x:c r="AG11" s="2"/>
      <x:c r="AH11" s="2"/>
      <x:c r="AI11" s="2"/>
      <x:c r="AJ11" s="2"/>
    </x:row>
    <x:row r="12" ht="24" customHeight="1">
      <x:c r="A12" s="2" t="str">
        <x:f>'設定'!B12</x:f>
        <x:v>スタッフF</x:v>
      </x:c>
      <x:c r="B12" s="7" t="str">
        <x:v>可</x:v>
      </x:c>
      <x:c r="C12" s="7" t="str">
        <x:v>可</x:v>
      </x:c>
      <x:c r="D12" s="7" t="str">
        <x:v>可</x:v>
      </x:c>
      <x:c r="E12" s="7" t="str">
        <x:v>可</x:v>
      </x:c>
      <x:c r="F12" s="7" t="str">
        <x:v>可</x:v>
      </x:c>
      <x:c r="G12" s="7" t="str">
        <x:v>休</x:v>
      </x:c>
      <x:c r="H12" s="7" t="str">
        <x:v>可</x:v>
      </x:c>
      <x:c r="I12" s="7" t="str">
        <x:v>可</x:v>
      </x:c>
      <x:c r="J12" s="7" t="str">
        <x:v>可</x:v>
      </x:c>
      <x:c r="K12" s="7" t="str">
        <x:v>可</x:v>
      </x:c>
      <x:c r="L12" s="7" t="str">
        <x:v>可</x:v>
      </x:c>
      <x:c r="M12" s="7" t="str">
        <x:v>可</x:v>
      </x:c>
      <x:c r="N12" s="7" t="str">
        <x:v>可</x:v>
      </x:c>
      <x:c r="O12" s="7" t="str">
        <x:v>可</x:v>
      </x:c>
      <x:c r="P12" s="7" t="str">
        <x:v>可</x:v>
      </x:c>
      <x:c r="Q12" s="7" t="str">
        <x:v>可</x:v>
      </x:c>
      <x:c r="R12" s="7" t="str">
        <x:v>可</x:v>
      </x:c>
      <x:c r="S12" s="7" t="str">
        <x:v>休</x:v>
      </x:c>
      <x:c r="T12" s="7" t="str">
        <x:v>可</x:v>
      </x:c>
      <x:c r="U12" s="7" t="str">
        <x:v>可</x:v>
      </x:c>
      <x:c r="V12" s="7" t="str">
        <x:v>可</x:v>
      </x:c>
      <x:c r="W12" s="7" t="str">
        <x:v>可</x:v>
      </x:c>
      <x:c r="X12" s="7" t="str">
        <x:v>可</x:v>
      </x:c>
      <x:c r="Y12" s="7" t="str">
        <x:v>可</x:v>
      </x:c>
      <x:c r="Z12" s="7" t="str">
        <x:v>可</x:v>
      </x:c>
      <x:c r="AA12" s="7" t="str">
        <x:v>可</x:v>
      </x:c>
      <x:c r="AB12" s="7" t="str">
        <x:v>可</x:v>
      </x:c>
      <x:c r="AC12" s="7" t="str">
        <x:v>可</x:v>
      </x:c>
      <x:c r="AD12" s="7" t="str">
        <x:v>可</x:v>
      </x:c>
      <x:c r="AE12" s="7" t="str">
        <x:v>可</x:v>
      </x:c>
      <x:c r="AF12" s="7" t="str">
        <x:v>可</x:v>
      </x:c>
      <x:c r="AG12" s="2"/>
      <x:c r="AH12" s="2"/>
      <x:c r="AI12" s="2"/>
      <x:c r="AJ12" s="2"/>
    </x:row>
    <x:row r="13" ht="24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  <x:c r="AF13" s="2"/>
      <x:c r="AG13" s="2"/>
      <x:c r="AH13" s="2"/>
      <x:c r="AI13" s="2"/>
      <x:c r="AJ13" s="2"/>
    </x:row>
    <x:row r="14" ht="24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  <x:c r="AF14" s="2"/>
      <x:c r="AG14" s="2"/>
      <x:c r="AH14" s="2"/>
      <x:c r="AI14" s="2"/>
      <x:c r="AJ14" s="2"/>
    </x:row>
    <x:row r="15" ht="24" customHeight="1">
      <x:c r="A15" s="2" t="str">
        <x:v>未確認・不正な入力</x:v>
      </x:c>
      <x:c r="B15" s="2" t="n">
        <x:f>SUM(B16:AF16)</x:f>
        <x:v>0</x:v>
      </x:c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  <x:c r="AF15" s="2"/>
      <x:c r="AG15" s="2"/>
      <x:c r="AH15" s="2"/>
      <x:c r="AI15" s="2"/>
      <x:c r="AJ15" s="2"/>
    </x:row>
    <x:row r="16" ht="24" customHeight="1">
      <x:c r="A16" s="2"/>
      <x:c r="B16" s="2" t="n">
        <x:f>IF(B5="",0,6-COUNTIF(B7:B12,"可")-COUNTIF(B7:B12,"休"))</x:f>
        <x:v>0</x:v>
      </x:c>
      <x:c r="C16" s="2" t="n">
        <x:f>IF(C5="",0,6-COUNTIF(C7:C12,"可")-COUNTIF(C7:C12,"休"))</x:f>
        <x:v>0</x:v>
      </x:c>
      <x:c r="D16" s="2" t="n">
        <x:f>IF(D5="",0,6-COUNTIF(D7:D12,"可")-COUNTIF(D7:D12,"休"))</x:f>
        <x:v>0</x:v>
      </x:c>
      <x:c r="E16" s="2" t="n">
        <x:f>IF(E5="",0,6-COUNTIF(E7:E12,"可")-COUNTIF(E7:E12,"休"))</x:f>
        <x:v>0</x:v>
      </x:c>
      <x:c r="F16" s="2" t="n">
        <x:f>IF(F5="",0,6-COUNTIF(F7:F12,"可")-COUNTIF(F7:F12,"休"))</x:f>
        <x:v>0</x:v>
      </x:c>
      <x:c r="G16" s="2" t="n">
        <x:f>IF(G5="",0,6-COUNTIF(G7:G12,"可")-COUNTIF(G7:G12,"休"))</x:f>
        <x:v>0</x:v>
      </x:c>
      <x:c r="H16" s="2" t="n">
        <x:f>IF(H5="",0,6-COUNTIF(H7:H12,"可")-COUNTIF(H7:H12,"休"))</x:f>
        <x:v>0</x:v>
      </x:c>
      <x:c r="I16" s="2" t="n">
        <x:f>IF(I5="",0,6-COUNTIF(I7:I12,"可")-COUNTIF(I7:I12,"休"))</x:f>
        <x:v>0</x:v>
      </x:c>
      <x:c r="J16" s="2" t="n">
        <x:f>IF(J5="",0,6-COUNTIF(J7:J12,"可")-COUNTIF(J7:J12,"休"))</x:f>
        <x:v>0</x:v>
      </x:c>
      <x:c r="K16" s="2" t="n">
        <x:f>IF(K5="",0,6-COUNTIF(K7:K12,"可")-COUNTIF(K7:K12,"休"))</x:f>
        <x:v>0</x:v>
      </x:c>
      <x:c r="L16" s="2" t="n">
        <x:f>IF(L5="",0,6-COUNTIF(L7:L12,"可")-COUNTIF(L7:L12,"休"))</x:f>
        <x:v>0</x:v>
      </x:c>
      <x:c r="M16" s="2" t="n">
        <x:f>IF(M5="",0,6-COUNTIF(M7:M12,"可")-COUNTIF(M7:M12,"休"))</x:f>
        <x:v>0</x:v>
      </x:c>
      <x:c r="N16" s="2" t="n">
        <x:f>IF(N5="",0,6-COUNTIF(N7:N12,"可")-COUNTIF(N7:N12,"休"))</x:f>
        <x:v>0</x:v>
      </x:c>
      <x:c r="O16" s="2" t="n">
        <x:f>IF(O5="",0,6-COUNTIF(O7:O12,"可")-COUNTIF(O7:O12,"休"))</x:f>
        <x:v>0</x:v>
      </x:c>
      <x:c r="P16" s="2" t="n">
        <x:f>IF(P5="",0,6-COUNTIF(P7:P12,"可")-COUNTIF(P7:P12,"休"))</x:f>
        <x:v>0</x:v>
      </x:c>
      <x:c r="Q16" s="2" t="n">
        <x:f>IF(Q5="",0,6-COUNTIF(Q7:Q12,"可")-COUNTIF(Q7:Q12,"休"))</x:f>
        <x:v>0</x:v>
      </x:c>
      <x:c r="R16" s="2" t="n">
        <x:f>IF(R5="",0,6-COUNTIF(R7:R12,"可")-COUNTIF(R7:R12,"休"))</x:f>
        <x:v>0</x:v>
      </x:c>
      <x:c r="S16" s="2" t="n">
        <x:f>IF(S5="",0,6-COUNTIF(S7:S12,"可")-COUNTIF(S7:S12,"休"))</x:f>
        <x:v>0</x:v>
      </x:c>
      <x:c r="T16" s="2" t="n">
        <x:f>IF(T5="",0,6-COUNTIF(T7:T12,"可")-COUNTIF(T7:T12,"休"))</x:f>
        <x:v>0</x:v>
      </x:c>
      <x:c r="U16" s="2" t="n">
        <x:f>IF(U5="",0,6-COUNTIF(U7:U12,"可")-COUNTIF(U7:U12,"休"))</x:f>
        <x:v>0</x:v>
      </x:c>
      <x:c r="V16" s="2" t="n">
        <x:f>IF(V5="",0,6-COUNTIF(V7:V12,"可")-COUNTIF(V7:V12,"休"))</x:f>
        <x:v>0</x:v>
      </x:c>
      <x:c r="W16" s="2" t="n">
        <x:f>IF(W5="",0,6-COUNTIF(W7:W12,"可")-COUNTIF(W7:W12,"休"))</x:f>
        <x:v>0</x:v>
      </x:c>
      <x:c r="X16" s="2" t="n">
        <x:f>IF(X5="",0,6-COUNTIF(X7:X12,"可")-COUNTIF(X7:X12,"休"))</x:f>
        <x:v>0</x:v>
      </x:c>
      <x:c r="Y16" s="2" t="n">
        <x:f>IF(Y5="",0,6-COUNTIF(Y7:Y12,"可")-COUNTIF(Y7:Y12,"休"))</x:f>
        <x:v>0</x:v>
      </x:c>
      <x:c r="Z16" s="2" t="n">
        <x:f>IF(Z5="",0,6-COUNTIF(Z7:Z12,"可")-COUNTIF(Z7:Z12,"休"))</x:f>
        <x:v>0</x:v>
      </x:c>
      <x:c r="AA16" s="2" t="n">
        <x:f>IF(AA5="",0,6-COUNTIF(AA7:AA12,"可")-COUNTIF(AA7:AA12,"休"))</x:f>
        <x:v>0</x:v>
      </x:c>
      <x:c r="AB16" s="2" t="n">
        <x:f>IF(AB5="",0,6-COUNTIF(AB7:AB12,"可")-COUNTIF(AB7:AB12,"休"))</x:f>
        <x:v>0</x:v>
      </x:c>
      <x:c r="AC16" s="2" t="n">
        <x:f>IF(AC5="",0,6-COUNTIF(AC7:AC12,"可")-COUNTIF(AC7:AC12,"休"))</x:f>
        <x:v>0</x:v>
      </x:c>
      <x:c r="AD16" s="2" t="n">
        <x:f>IF(AD5="",0,6-COUNTIF(AD7:AD12,"可")-COUNTIF(AD7:AD12,"休"))</x:f>
        <x:v>0</x:v>
      </x:c>
      <x:c r="AE16" s="2" t="n">
        <x:f>IF(AE5="",0,6-COUNTIF(AE7:AE12,"可")-COUNTIF(AE7:AE12,"休"))</x:f>
        <x:v>0</x:v>
      </x:c>
      <x:c r="AF16" s="2" t="n">
        <x:f>IF(AF5="",0,6-COUNTIF(AF7:AF12,"可")-COUNTIF(AF7:AF12,"休"))</x:f>
        <x:v>0</x:v>
      </x:c>
      <x:c r="AG16" s="2"/>
      <x:c r="AH16" s="2"/>
      <x:c r="AI16" s="2"/>
      <x:c r="AJ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  <x:c r="AF17" s="2"/>
      <x:c r="AG17" s="2"/>
      <x:c r="AH17" s="2"/>
      <x:c r="AI17" s="2"/>
      <x:c r="AJ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  <x:c r="AF18" s="2"/>
      <x:c r="AG18" s="2"/>
      <x:c r="AH18" s="2"/>
      <x:c r="AI18" s="2"/>
      <x:c r="AJ18" s="2"/>
    </x:row>
    <x:row r="19" ht="24" customHeight="1">
      <x:c r="A19" s="14" t="str">
        <x:v>「可」は勤務を希望する指定ではなく、早番・遅番のどちらにも勤務可能という意味です。氏名と日付を確認してから入力してください。年月だけ変えても希望休は消えません。翌月はファイルを複製し、対象月の日付に合わせて全員分を確認し直します。</x:v>
      </x:c>
      <x:c r="B19" s="14"/>
      <x:c r="C19" s="14"/>
      <x:c r="D19" s="14"/>
      <x:c r="E19" s="14"/>
      <x:c r="F19" s="14"/>
      <x:c r="G19" s="14"/>
      <x:c r="H19" s="14"/>
      <x:c r="I19" s="14"/>
      <x:c r="J19" s="14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  <x:c r="AF19" s="2"/>
      <x:c r="AG19" s="2"/>
      <x:c r="AH19" s="2"/>
      <x:c r="AI19" s="2"/>
      <x:c r="AJ19" s="2"/>
    </x:row>
    <x:row r="20" ht="24" customHeight="1">
      <x:c r="A20" s="14"/>
      <x:c r="B20" s="14"/>
      <x:c r="C20" s="14"/>
      <x:c r="D20" s="14"/>
      <x:c r="E20" s="14"/>
      <x:c r="F20" s="14"/>
      <x:c r="G20" s="14"/>
      <x:c r="H20" s="14"/>
      <x:c r="I20" s="14"/>
      <x:c r="J20" s="14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  <x:c r="AF20" s="2"/>
      <x:c r="AG20" s="2"/>
      <x:c r="AH20" s="2"/>
      <x:c r="AI20" s="2"/>
      <x:c r="AJ20" s="2"/>
    </x:row>
    <x:row r="21" ht="24" customHeight="1">
      <x:c r="A21" s="14"/>
      <x:c r="B21" s="14"/>
      <x:c r="C21" s="14"/>
      <x:c r="D21" s="14"/>
      <x:c r="E21" s="14"/>
      <x:c r="F21" s="14"/>
      <x:c r="G21" s="14"/>
      <x:c r="H21" s="14"/>
      <x:c r="I21" s="14"/>
      <x:c r="J21" s="14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  <x:c r="AF21" s="2"/>
      <x:c r="AG21" s="2"/>
      <x:c r="AH21" s="2"/>
      <x:c r="AI21" s="2"/>
      <x:c r="AJ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  <x:c r="AF22" s="2"/>
      <x:c r="AG22" s="2"/>
      <x:c r="AH22" s="2"/>
      <x:c r="AI22" s="2"/>
      <x:c r="AJ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  <x:c r="AF23" s="2"/>
      <x:c r="AG23" s="2"/>
      <x:c r="AH23" s="2"/>
      <x:c r="AI23" s="2"/>
      <x:c r="AJ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  <x:c r="AF24" s="2"/>
      <x:c r="AG24" s="2"/>
      <x:c r="AH24" s="2"/>
      <x:c r="AI24" s="2"/>
      <x:c r="AJ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  <x:c r="AF25" s="2"/>
      <x:c r="AG25" s="2"/>
      <x:c r="AH25" s="2"/>
      <x:c r="AI25" s="2"/>
      <x:c r="AJ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  <x:c r="AF26" s="2"/>
      <x:c r="AG26" s="2"/>
      <x:c r="AH26" s="2"/>
      <x:c r="AI26" s="2"/>
      <x:c r="AJ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  <x:c r="AH27" s="2"/>
      <x:c r="AI27" s="2"/>
      <x:c r="AJ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  <x:c r="AH28" s="2"/>
      <x:c r="AI28" s="2"/>
      <x:c r="AJ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  <x:c r="AG29" s="2"/>
      <x:c r="AH29" s="2"/>
      <x:c r="AI29" s="2"/>
      <x:c r="AJ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  <x:c r="AG30" s="2"/>
      <x:c r="AH30" s="2"/>
      <x:c r="AI30" s="2"/>
      <x:c r="AJ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  <x:c r="AG31" s="2"/>
      <x:c r="AH31" s="2"/>
      <x:c r="AI31" s="2"/>
      <x:c r="AJ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  <x:c r="AF32" s="2"/>
      <x:c r="AG32" s="2"/>
      <x:c r="AH32" s="2"/>
      <x:c r="AI32" s="2"/>
      <x:c r="AJ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  <x:c r="AG33" s="2"/>
      <x:c r="AH33" s="2"/>
      <x:c r="AI33" s="2"/>
      <x:c r="AJ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  <x:c r="AH34" s="2"/>
      <x:c r="AI34" s="2"/>
      <x:c r="AJ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  <x:c r="AG35" s="2"/>
      <x:c r="AH35" s="2"/>
      <x:c r="AI35" s="2"/>
      <x:c r="AJ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  <x:c r="AG36" s="2"/>
      <x:c r="AH36" s="2"/>
      <x:c r="AI36" s="2"/>
      <x:c r="AJ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  <x:c r="AF37" s="2"/>
      <x:c r="AG37" s="2"/>
      <x:c r="AH37" s="2"/>
      <x:c r="AI37" s="2"/>
      <x:c r="AJ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  <x:c r="AG38" s="2"/>
      <x:c r="AH38" s="2"/>
      <x:c r="AI38" s="2"/>
      <x:c r="AJ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  <x:c r="AF39" s="2"/>
      <x:c r="AG39" s="2"/>
      <x:c r="AH39" s="2"/>
      <x:c r="AI39" s="2"/>
      <x:c r="AJ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  <x:c r="AF40" s="2"/>
      <x:c r="AG40" s="2"/>
      <x:c r="AH40" s="2"/>
      <x:c r="AI40" s="2"/>
      <x:c r="AJ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  <x:c r="AF41" s="2"/>
      <x:c r="AG41" s="2"/>
      <x:c r="AH41" s="2"/>
      <x:c r="AI41" s="2"/>
      <x:c r="AJ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  <x:c r="AF42" s="2"/>
      <x:c r="AG42" s="2"/>
      <x:c r="AH42" s="2"/>
      <x:c r="AI42" s="2"/>
      <x:c r="AJ42" s="2"/>
    </x:row>
  </x:sheetData>
  <x:mergeCells>
    <x:mergeCell ref="A1:J2"/>
    <x:mergeCell ref="A4:J4"/>
    <x:mergeCell ref="A19:J21"/>
  </x:mergeCells>
  <x:conditionalFormatting sqref="B7:AF12">
    <x:cfRule type="expression" dxfId="0" priority="1">
      <x:formula>B7="休"</x:formula>
    </x:cfRule>
  </x:conditionalFormatting>
  <x:dataValidations count="1">
    <x:dataValidation type="list" sqref="B7:AF12">
      <x:formula1>"可,休"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3" hidden="0" customWidth="1"/>
    <x:col min="2" max="2" width="9" hidden="0" customWidth="1"/>
    <x:col min="3" max="3" width="9" hidden="0" customWidth="1"/>
    <x:col min="4" max="4" width="9" hidden="0" customWidth="1"/>
    <x:col min="5" max="5" width="9" hidden="0" customWidth="1"/>
    <x:col min="6" max="6" width="9" hidden="0" customWidth="1"/>
    <x:col min="7" max="7" width="9" hidden="0" customWidth="1"/>
    <x:col min="8" max="8" width="9" hidden="0" customWidth="1"/>
    <x:col min="9" max="9" width="9" hidden="0" customWidth="1"/>
    <x:col min="10" max="10" width="9" hidden="0" customWidth="1"/>
    <x:col min="11" max="11" width="9" hidden="0" customWidth="1"/>
    <x:col min="12" max="12" width="9" hidden="0" customWidth="1"/>
    <x:col min="13" max="13" width="9" hidden="0" customWidth="1"/>
    <x:col min="14" max="14" width="9" hidden="0" customWidth="1"/>
    <x:col min="15" max="15" width="9" hidden="0" customWidth="1"/>
    <x:col min="16" max="16" width="9" hidden="0" customWidth="1"/>
    <x:col min="17" max="17" width="9" hidden="0" customWidth="1"/>
    <x:col min="18" max="18" width="9" hidden="0" customWidth="1"/>
    <x:col min="19" max="19" width="9" hidden="0" customWidth="1"/>
    <x:col min="20" max="20" width="9" hidden="0" customWidth="1"/>
    <x:col min="21" max="21" width="9" hidden="0" customWidth="1"/>
    <x:col min="22" max="22" width="9" hidden="0" customWidth="1"/>
    <x:col min="23" max="23" width="9" hidden="0" customWidth="1"/>
    <x:col min="24" max="24" width="9" hidden="0" customWidth="1"/>
    <x:col min="25" max="25" width="9" hidden="0" customWidth="1"/>
    <x:col min="26" max="26" width="9" hidden="0" customWidth="1"/>
    <x:col min="27" max="27" width="9" hidden="0" customWidth="1"/>
    <x:col min="28" max="28" width="9" hidden="0" customWidth="1"/>
    <x:col min="29" max="29" width="9" hidden="0" customWidth="1"/>
    <x:col min="30" max="30" width="9" hidden="0" customWidth="1"/>
    <x:col min="31" max="31" width="9" hidden="0" customWidth="1"/>
    <x:col min="32" max="32" width="9" hidden="0" customWidth="1"/>
    <x:col min="33" max="33" width="13" hidden="0" customWidth="1"/>
    <x:col min="34" max="34" width="13" hidden="0" customWidth="1"/>
    <x:col min="35" max="35" width="9" hidden="0" customWidth="1"/>
    <x:col min="36" max="36" width="9" hidden="0" customWidth="1"/>
  </x:cols>
  <x:sheetData>
    <x:row r="1" ht="24" customHeight="1">
      <x:c r="A1" s="3" t="str">
        <x:v>自動作成した月間勤務案</x:v>
      </x:c>
      <x:c r="B1" s="3"/>
      <x:c r="C1" s="3"/>
      <x:c r="D1" s="3"/>
      <x:c r="E1" s="3"/>
      <x:c r="F1" s="3"/>
      <x:c r="G1" s="3"/>
      <x:c r="H1" s="3"/>
      <x:c r="I1" s="3"/>
      <x:c r="J1" s="3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</x:row>
    <x:row r="2" ht="24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</x:row>
    <x:row r="4" ht="36" customHeight="1">
      <x:c r="A4" s="5" t="str">
        <x:v>希望休・必要人数・月の勤務上限・連勤上限を反映した案です。不足や職場の追加条件を確認して確定します。</x:v>
      </x:c>
      <x:c r="B4" s="5"/>
      <x:c r="C4" s="5"/>
      <x:c r="D4" s="5"/>
      <x:c r="E4" s="5"/>
      <x:c r="F4" s="5"/>
      <x:c r="G4" s="5"/>
      <x:c r="H4" s="5"/>
      <x:c r="I4" s="5"/>
      <x:c r="J4" s="5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</x:row>
    <x:row r="5" ht="28" customHeight="1">
      <x:c r="A5" s="10" t="str">
        <x:v>スタッフ</x:v>
      </x:c>
      <x:c r="B5" s="11" t="n">
        <x:f>IF('設定'!B16="","",'設定'!B16)</x:f>
        <x:v>46266</x:v>
      </x:c>
      <x:c r="C5" s="11" t="n">
        <x:f>IF('設定'!C16="","",'設定'!C16)</x:f>
        <x:v>46267</x:v>
      </x:c>
      <x:c r="D5" s="11" t="n">
        <x:f>IF('設定'!D16="","",'設定'!D16)</x:f>
        <x:v>46268</x:v>
      </x:c>
      <x:c r="E5" s="11" t="n">
        <x:f>IF('設定'!E16="","",'設定'!E16)</x:f>
        <x:v>46269</x:v>
      </x:c>
      <x:c r="F5" s="11" t="n">
        <x:f>IF('設定'!F16="","",'設定'!F16)</x:f>
        <x:v>46270</x:v>
      </x:c>
      <x:c r="G5" s="11" t="n">
        <x:f>IF('設定'!G16="","",'設定'!G16)</x:f>
        <x:v>46271</x:v>
      </x:c>
      <x:c r="H5" s="11" t="n">
        <x:f>IF('設定'!H16="","",'設定'!H16)</x:f>
        <x:v>46272</x:v>
      </x:c>
      <x:c r="I5" s="11" t="n">
        <x:f>IF('設定'!I16="","",'設定'!I16)</x:f>
        <x:v>46273</x:v>
      </x:c>
      <x:c r="J5" s="11" t="n">
        <x:f>IF('設定'!J16="","",'設定'!J16)</x:f>
        <x:v>46274</x:v>
      </x:c>
      <x:c r="K5" s="11" t="n">
        <x:f>IF('設定'!K16="","",'設定'!K16)</x:f>
        <x:v>46275</x:v>
      </x:c>
      <x:c r="L5" s="11" t="n">
        <x:f>IF('設定'!L16="","",'設定'!L16)</x:f>
        <x:v>46276</x:v>
      </x:c>
      <x:c r="M5" s="11" t="n">
        <x:f>IF('設定'!M16="","",'設定'!M16)</x:f>
        <x:v>46277</x:v>
      </x:c>
      <x:c r="N5" s="11" t="n">
        <x:f>IF('設定'!N16="","",'設定'!N16)</x:f>
        <x:v>46278</x:v>
      </x:c>
      <x:c r="O5" s="11" t="n">
        <x:f>IF('設定'!O16="","",'設定'!O16)</x:f>
        <x:v>46279</x:v>
      </x:c>
      <x:c r="P5" s="11" t="n">
        <x:f>IF('設定'!P16="","",'設定'!P16)</x:f>
        <x:v>46280</x:v>
      </x:c>
      <x:c r="Q5" s="11" t="n">
        <x:f>IF('設定'!Q16="","",'設定'!Q16)</x:f>
        <x:v>46281</x:v>
      </x:c>
      <x:c r="R5" s="11" t="n">
        <x:f>IF('設定'!R16="","",'設定'!R16)</x:f>
        <x:v>46282</x:v>
      </x:c>
      <x:c r="S5" s="11" t="n">
        <x:f>IF('設定'!S16="","",'設定'!S16)</x:f>
        <x:v>46283</x:v>
      </x:c>
      <x:c r="T5" s="11" t="n">
        <x:f>IF('設定'!T16="","",'設定'!T16)</x:f>
        <x:v>46284</x:v>
      </x:c>
      <x:c r="U5" s="11" t="n">
        <x:f>IF('設定'!U16="","",'設定'!U16)</x:f>
        <x:v>46285</x:v>
      </x:c>
      <x:c r="V5" s="11" t="n">
        <x:f>IF('設定'!V16="","",'設定'!V16)</x:f>
        <x:v>46286</x:v>
      </x:c>
      <x:c r="W5" s="11" t="n">
        <x:f>IF('設定'!W16="","",'設定'!W16)</x:f>
        <x:v>46287</x:v>
      </x:c>
      <x:c r="X5" s="11" t="n">
        <x:f>IF('設定'!X16="","",'設定'!X16)</x:f>
        <x:v>46288</x:v>
      </x:c>
      <x:c r="Y5" s="11" t="n">
        <x:f>IF('設定'!Y16="","",'設定'!Y16)</x:f>
        <x:v>46289</x:v>
      </x:c>
      <x:c r="Z5" s="11" t="n">
        <x:f>IF('設定'!Z16="","",'設定'!Z16)</x:f>
        <x:v>46290</x:v>
      </x:c>
      <x:c r="AA5" s="11" t="n">
        <x:f>IF('設定'!AA16="","",'設定'!AA16)</x:f>
        <x:v>46291</x:v>
      </x:c>
      <x:c r="AB5" s="11" t="n">
        <x:f>IF('設定'!AB16="","",'設定'!AB16)</x:f>
        <x:v>46292</x:v>
      </x:c>
      <x:c r="AC5" s="11" t="n">
        <x:f>IF('設定'!AC16="","",'設定'!AC16)</x:f>
        <x:v>46293</x:v>
      </x:c>
      <x:c r="AD5" s="11" t="n">
        <x:f>IF('設定'!AD16="","",'設定'!AD16)</x:f>
        <x:v>46294</x:v>
      </x:c>
      <x:c r="AE5" s="11" t="n">
        <x:f>IF('設定'!AE16="","",'設定'!AE16)</x:f>
        <x:v>46295</x:v>
      </x:c>
      <x:c r="AF5" s="11" t="str">
        <x:f>IF('設定'!AF16="","",'設定'!AF16)</x:f>
      </x:c>
      <x:c r="AG5" s="10" t="str">
        <x:v>勤務日数</x:v>
      </x:c>
      <x:c r="AH5" s="10" t="str">
        <x:v>最長連勤</x:v>
      </x:c>
      <x:c r="AI5" s="2"/>
      <x:c r="AJ5" s="2"/>
    </x:row>
    <x:row r="6" ht="28" customHeight="1">
      <x:c r="A6" s="10"/>
      <x:c r="B6" s="10" t="str">
        <x:f>IF(B5="","",CHOOSE(WEEKDAY(B5),"日","月","火","水","木","金","土"))</x:f>
        <x:v>火</x:v>
      </x:c>
      <x:c r="C6" s="10" t="str">
        <x:f>IF(C5="","",CHOOSE(WEEKDAY(C5),"日","月","火","水","木","金","土"))</x:f>
        <x:v>水</x:v>
      </x:c>
      <x:c r="D6" s="10" t="str">
        <x:f>IF(D5="","",CHOOSE(WEEKDAY(D5),"日","月","火","水","木","金","土"))</x:f>
        <x:v>木</x:v>
      </x:c>
      <x:c r="E6" s="10" t="str">
        <x:f>IF(E5="","",CHOOSE(WEEKDAY(E5),"日","月","火","水","木","金","土"))</x:f>
        <x:v>金</x:v>
      </x:c>
      <x:c r="F6" s="10" t="str">
        <x:f>IF(F5="","",CHOOSE(WEEKDAY(F5),"日","月","火","水","木","金","土"))</x:f>
        <x:v>土</x:v>
      </x:c>
      <x:c r="G6" s="10" t="str">
        <x:f>IF(G5="","",CHOOSE(WEEKDAY(G5),"日","月","火","水","木","金","土"))</x:f>
        <x:v>日</x:v>
      </x:c>
      <x:c r="H6" s="10" t="str">
        <x:f>IF(H5="","",CHOOSE(WEEKDAY(H5),"日","月","火","水","木","金","土"))</x:f>
        <x:v>月</x:v>
      </x:c>
      <x:c r="I6" s="10" t="str">
        <x:f>IF(I5="","",CHOOSE(WEEKDAY(I5),"日","月","火","水","木","金","土"))</x:f>
        <x:v>火</x:v>
      </x:c>
      <x:c r="J6" s="10" t="str">
        <x:f>IF(J5="","",CHOOSE(WEEKDAY(J5),"日","月","火","水","木","金","土"))</x:f>
        <x:v>水</x:v>
      </x:c>
      <x:c r="K6" s="10" t="str">
        <x:f>IF(K5="","",CHOOSE(WEEKDAY(K5),"日","月","火","水","木","金","土"))</x:f>
        <x:v>木</x:v>
      </x:c>
      <x:c r="L6" s="10" t="str">
        <x:f>IF(L5="","",CHOOSE(WEEKDAY(L5),"日","月","火","水","木","金","土"))</x:f>
        <x:v>金</x:v>
      </x:c>
      <x:c r="M6" s="10" t="str">
        <x:f>IF(M5="","",CHOOSE(WEEKDAY(M5),"日","月","火","水","木","金","土"))</x:f>
        <x:v>土</x:v>
      </x:c>
      <x:c r="N6" s="10" t="str">
        <x:f>IF(N5="","",CHOOSE(WEEKDAY(N5),"日","月","火","水","木","金","土"))</x:f>
        <x:v>日</x:v>
      </x:c>
      <x:c r="O6" s="10" t="str">
        <x:f>IF(O5="","",CHOOSE(WEEKDAY(O5),"日","月","火","水","木","金","土"))</x:f>
        <x:v>月</x:v>
      </x:c>
      <x:c r="P6" s="10" t="str">
        <x:f>IF(P5="","",CHOOSE(WEEKDAY(P5),"日","月","火","水","木","金","土"))</x:f>
        <x:v>火</x:v>
      </x:c>
      <x:c r="Q6" s="10" t="str">
        <x:f>IF(Q5="","",CHOOSE(WEEKDAY(Q5),"日","月","火","水","木","金","土"))</x:f>
        <x:v>水</x:v>
      </x:c>
      <x:c r="R6" s="10" t="str">
        <x:f>IF(R5="","",CHOOSE(WEEKDAY(R5),"日","月","火","水","木","金","土"))</x:f>
        <x:v>木</x:v>
      </x:c>
      <x:c r="S6" s="10" t="str">
        <x:f>IF(S5="","",CHOOSE(WEEKDAY(S5),"日","月","火","水","木","金","土"))</x:f>
        <x:v>金</x:v>
      </x:c>
      <x:c r="T6" s="10" t="str">
        <x:f>IF(T5="","",CHOOSE(WEEKDAY(T5),"日","月","火","水","木","金","土"))</x:f>
        <x:v>土</x:v>
      </x:c>
      <x:c r="U6" s="10" t="str">
        <x:f>IF(U5="","",CHOOSE(WEEKDAY(U5),"日","月","火","水","木","金","土"))</x:f>
        <x:v>日</x:v>
      </x:c>
      <x:c r="V6" s="10" t="str">
        <x:f>IF(V5="","",CHOOSE(WEEKDAY(V5),"日","月","火","水","木","金","土"))</x:f>
        <x:v>月</x:v>
      </x:c>
      <x:c r="W6" s="10" t="str">
        <x:f>IF(W5="","",CHOOSE(WEEKDAY(W5),"日","月","火","水","木","金","土"))</x:f>
        <x:v>火</x:v>
      </x:c>
      <x:c r="X6" s="10" t="str">
        <x:f>IF(X5="","",CHOOSE(WEEKDAY(X5),"日","月","火","水","木","金","土"))</x:f>
        <x:v>水</x:v>
      </x:c>
      <x:c r="Y6" s="10" t="str">
        <x:f>IF(Y5="","",CHOOSE(WEEKDAY(Y5),"日","月","火","水","木","金","土"))</x:f>
        <x:v>木</x:v>
      </x:c>
      <x:c r="Z6" s="10" t="str">
        <x:f>IF(Z5="","",CHOOSE(WEEKDAY(Z5),"日","月","火","水","木","金","土"))</x:f>
        <x:v>金</x:v>
      </x:c>
      <x:c r="AA6" s="10" t="str">
        <x:f>IF(AA5="","",CHOOSE(WEEKDAY(AA5),"日","月","火","水","木","金","土"))</x:f>
        <x:v>土</x:v>
      </x:c>
      <x:c r="AB6" s="10" t="str">
        <x:f>IF(AB5="","",CHOOSE(WEEKDAY(AB5),"日","月","火","水","木","金","土"))</x:f>
        <x:v>日</x:v>
      </x:c>
      <x:c r="AC6" s="10" t="str">
        <x:f>IF(AC5="","",CHOOSE(WEEKDAY(AC5),"日","月","火","水","木","金","土"))</x:f>
        <x:v>月</x:v>
      </x:c>
      <x:c r="AD6" s="10" t="str">
        <x:f>IF(AD5="","",CHOOSE(WEEKDAY(AD5),"日","月","火","水","木","金","土"))</x:f>
        <x:v>火</x:v>
      </x:c>
      <x:c r="AE6" s="10" t="str">
        <x:f>IF(AE5="","",CHOOSE(WEEKDAY(AE5),"日","月","火","水","木","金","土"))</x:f>
        <x:v>水</x:v>
      </x:c>
      <x:c r="AF6" s="10" t="str">
        <x:f>IF(AF5="","",CHOOSE(WEEKDAY(AF5),"日","月","火","水","木","金","土"))</x:f>
      </x:c>
      <x:c r="AG6" s="10"/>
      <x:c r="AH6" s="10"/>
      <x:c r="AI6" s="2"/>
      <x:c r="AJ6" s="2"/>
    </x:row>
    <x:row r="7" ht="24" customHeight="1">
      <x:c r="A7" s="2" t="str">
        <x:f>'設定'!B7</x:f>
        <x:v>スタッフA</x:v>
      </x:c>
      <x:c r="B7" s="16" t="str">
        <x:f>IF(B$5="","",IF('希望休'!B7="休","希休",IF('希望休'!B7&lt;&gt;"可","未確認",IF(COUNTIFS('割当計算'!$A$8:$A$131,B$5,'割当計算'!$F$8:$F$131,1,'割当計算'!$C$8:$C$131,"早")&gt;0,"早",IF(COUNTIFS('割当計算'!$A$8:$A$131,B$5,'割当計算'!$F$8:$F$131,1,'割当計算'!$C$8:$C$131,"遅")&gt;0,"遅","休")))))</x:f>
        <x:v>希休</x:v>
      </x:c>
      <x:c r="C7" s="16" t="str">
        <x:f>IF(C$5="","",IF('希望休'!C7="休","希休",IF('希望休'!C7&lt;&gt;"可","未確認",IF(COUNTIFS('割当計算'!$A$8:$A$131,C$5,'割当計算'!$F$8:$F$131,1,'割当計算'!$C$8:$C$131,"早")&gt;0,"早",IF(COUNTIFS('割当計算'!$A$8:$A$131,C$5,'割当計算'!$F$8:$F$131,1,'割当計算'!$C$8:$C$131,"遅")&gt;0,"遅","休")))))</x:f>
        <x:v>早</x:v>
      </x:c>
      <x:c r="D7" s="16" t="str">
        <x:f>IF(D$5="","",IF('希望休'!D7="休","希休",IF('希望休'!D7&lt;&gt;"可","未確認",IF(COUNTIFS('割当計算'!$A$8:$A$131,D$5,'割当計算'!$F$8:$F$131,1,'割当計算'!$C$8:$C$131,"早")&gt;0,"早",IF(COUNTIFS('割当計算'!$A$8:$A$131,D$5,'割当計算'!$F$8:$F$131,1,'割当計算'!$C$8:$C$131,"遅")&gt;0,"遅","休")))))</x:f>
        <x:v>遅</x:v>
      </x:c>
      <x:c r="E7" s="16" t="str">
        <x:f>IF(E$5="","",IF('希望休'!E7="休","希休",IF('希望休'!E7&lt;&gt;"可","未確認",IF(COUNTIFS('割当計算'!$A$8:$A$131,E$5,'割当計算'!$F$8:$F$131,1,'割当計算'!$C$8:$C$131,"早")&gt;0,"早",IF(COUNTIFS('割当計算'!$A$8:$A$131,E$5,'割当計算'!$F$8:$F$131,1,'割当計算'!$C$8:$C$131,"遅")&gt;0,"遅","休")))))</x:f>
        <x:v>遅</x:v>
      </x:c>
      <x:c r="F7" s="16" t="str">
        <x:f>IF(F$5="","",IF('希望休'!F7="休","希休",IF('希望休'!F7&lt;&gt;"可","未確認",IF(COUNTIFS('割当計算'!$A$8:$A$131,F$5,'割当計算'!$F$8:$F$131,1,'割当計算'!$C$8:$C$131,"早")&gt;0,"早",IF(COUNTIFS('割当計算'!$A$8:$A$131,F$5,'割当計算'!$F$8:$F$131,1,'割当計算'!$C$8:$C$131,"遅")&gt;0,"遅","休")))))</x:f>
        <x:v>休</x:v>
      </x:c>
      <x:c r="G7" s="16" t="str">
        <x:f>IF(G$5="","",IF('希望休'!G7="休","希休",IF('希望休'!G7&lt;&gt;"可","未確認",IF(COUNTIFS('割当計算'!$A$8:$A$131,G$5,'割当計算'!$F$8:$F$131,1,'割当計算'!$C$8:$C$131,"早")&gt;0,"早",IF(COUNTIFS('割当計算'!$A$8:$A$131,G$5,'割当計算'!$F$8:$F$131,1,'割当計算'!$C$8:$C$131,"遅")&gt;0,"遅","休")))))</x:f>
        <x:v>早</x:v>
      </x:c>
      <x:c r="H7" s="16" t="str">
        <x:f>IF(H$5="","",IF('希望休'!H7="休","希休",IF('希望休'!H7&lt;&gt;"可","未確認",IF(COUNTIFS('割当計算'!$A$8:$A$131,H$5,'割当計算'!$F$8:$F$131,1,'割当計算'!$C$8:$C$131,"早")&gt;0,"早",IF(COUNTIFS('割当計算'!$A$8:$A$131,H$5,'割当計算'!$F$8:$F$131,1,'割当計算'!$C$8:$C$131,"遅")&gt;0,"遅","休")))))</x:f>
        <x:v>早</x:v>
      </x:c>
      <x:c r="I7" s="16" t="str">
        <x:f>IF(I$5="","",IF('希望休'!I7="休","希休",IF('希望休'!I7&lt;&gt;"可","未確認",IF(COUNTIFS('割当計算'!$A$8:$A$131,I$5,'割当計算'!$F$8:$F$131,1,'割当計算'!$C$8:$C$131,"早")&gt;0,"早",IF(COUNTIFS('割当計算'!$A$8:$A$131,I$5,'割当計算'!$F$8:$F$131,1,'割当計算'!$C$8:$C$131,"遅")&gt;0,"遅","休")))))</x:f>
        <x:v>遅</x:v>
      </x:c>
      <x:c r="J7" s="16" t="str">
        <x:f>IF(J$5="","",IF('希望休'!J7="休","希休",IF('希望休'!J7&lt;&gt;"可","未確認",IF(COUNTIFS('割当計算'!$A$8:$A$131,J$5,'割当計算'!$F$8:$F$131,1,'割当計算'!$C$8:$C$131,"早")&gt;0,"早",IF(COUNTIFS('割当計算'!$A$8:$A$131,J$5,'割当計算'!$F$8:$F$131,1,'割当計算'!$C$8:$C$131,"遅")&gt;0,"遅","休")))))</x:f>
        <x:v>休</x:v>
      </x:c>
      <x:c r="K7" s="16" t="str">
        <x:f>IF(K$5="","",IF('希望休'!K7="休","希休",IF('希望休'!K7&lt;&gt;"可","未確認",IF(COUNTIFS('割当計算'!$A$8:$A$131,K$5,'割当計算'!$F$8:$F$131,1,'割当計算'!$C$8:$C$131,"早")&gt;0,"早",IF(COUNTIFS('割当計算'!$A$8:$A$131,K$5,'割当計算'!$F$8:$F$131,1,'割当計算'!$C$8:$C$131,"遅")&gt;0,"遅","休")))))</x:f>
        <x:v>休</x:v>
      </x:c>
      <x:c r="L7" s="16" t="str">
        <x:f>IF(L$5="","",IF('希望休'!L7="休","希休",IF('希望休'!L7&lt;&gt;"可","未確認",IF(COUNTIFS('割当計算'!$A$8:$A$131,L$5,'割当計算'!$F$8:$F$131,1,'割当計算'!$C$8:$C$131,"早")&gt;0,"早",IF(COUNTIFS('割当計算'!$A$8:$A$131,L$5,'割当計算'!$F$8:$F$131,1,'割当計算'!$C$8:$C$131,"遅")&gt;0,"遅","休")))))</x:f>
        <x:v>早</x:v>
      </x:c>
      <x:c r="M7" s="16" t="str">
        <x:f>IF(M$5="","",IF('希望休'!M7="休","希休",IF('希望休'!M7&lt;&gt;"可","未確認",IF(COUNTIFS('割当計算'!$A$8:$A$131,M$5,'割当計算'!$F$8:$F$131,1,'割当計算'!$C$8:$C$131,"早")&gt;0,"早",IF(COUNTIFS('割当計算'!$A$8:$A$131,M$5,'割当計算'!$F$8:$F$131,1,'割当計算'!$C$8:$C$131,"遅")&gt;0,"遅","休")))))</x:f>
        <x:v>早</x:v>
      </x:c>
      <x:c r="N7" s="16" t="str">
        <x:f>IF(N$5="","",IF('希望休'!N7="休","希休",IF('希望休'!N7&lt;&gt;"可","未確認",IF(COUNTIFS('割当計算'!$A$8:$A$131,N$5,'割当計算'!$F$8:$F$131,1,'割当計算'!$C$8:$C$131,"早")&gt;0,"早",IF(COUNTIFS('割当計算'!$A$8:$A$131,N$5,'割当計算'!$F$8:$F$131,1,'割当計算'!$C$8:$C$131,"遅")&gt;0,"遅","休")))))</x:f>
        <x:v>希休</x:v>
      </x:c>
      <x:c r="O7" s="16" t="str">
        <x:f>IF(O$5="","",IF('希望休'!O7="休","希休",IF('希望休'!O7&lt;&gt;"可","未確認",IF(COUNTIFS('割当計算'!$A$8:$A$131,O$5,'割当計算'!$F$8:$F$131,1,'割当計算'!$C$8:$C$131,"早")&gt;0,"早",IF(COUNTIFS('割当計算'!$A$8:$A$131,O$5,'割当計算'!$F$8:$F$131,1,'割当計算'!$C$8:$C$131,"遅")&gt;0,"遅","休")))))</x:f>
        <x:v>早</x:v>
      </x:c>
      <x:c r="P7" s="16" t="str">
        <x:f>IF(P$5="","",IF('希望休'!P7="休","希休",IF('希望休'!P7&lt;&gt;"可","未確認",IF(COUNTIFS('割当計算'!$A$8:$A$131,P$5,'割当計算'!$F$8:$F$131,1,'割当計算'!$C$8:$C$131,"早")&gt;0,"早",IF(COUNTIFS('割当計算'!$A$8:$A$131,P$5,'割当計算'!$F$8:$F$131,1,'割当計算'!$C$8:$C$131,"遅")&gt;0,"遅","休")))))</x:f>
        <x:v>遅</x:v>
      </x:c>
      <x:c r="Q7" s="16" t="str">
        <x:f>IF(Q$5="","",IF('希望休'!Q7="休","希休",IF('希望休'!Q7&lt;&gt;"可","未確認",IF(COUNTIFS('割当計算'!$A$8:$A$131,Q$5,'割当計算'!$F$8:$F$131,1,'割当計算'!$C$8:$C$131,"早")&gt;0,"早",IF(COUNTIFS('割当計算'!$A$8:$A$131,Q$5,'割当計算'!$F$8:$F$131,1,'割当計算'!$C$8:$C$131,"遅")&gt;0,"遅","休")))))</x:f>
        <x:v>遅</x:v>
      </x:c>
      <x:c r="R7" s="16" t="str">
        <x:f>IF(R$5="","",IF('希望休'!R7="休","希休",IF('希望休'!R7&lt;&gt;"可","未確認",IF(COUNTIFS('割当計算'!$A$8:$A$131,R$5,'割当計算'!$F$8:$F$131,1,'割当計算'!$C$8:$C$131,"早")&gt;0,"早",IF(COUNTIFS('割当計算'!$A$8:$A$131,R$5,'割当計算'!$F$8:$F$131,1,'割当計算'!$C$8:$C$131,"遅")&gt;0,"遅","休")))))</x:f>
        <x:v>休</x:v>
      </x:c>
      <x:c r="S7" s="16" t="str">
        <x:f>IF(S$5="","",IF('希望休'!S7="休","希休",IF('希望休'!S7&lt;&gt;"可","未確認",IF(COUNTIFS('割当計算'!$A$8:$A$131,S$5,'割当計算'!$F$8:$F$131,1,'割当計算'!$C$8:$C$131,"早")&gt;0,"早",IF(COUNTIFS('割当計算'!$A$8:$A$131,S$5,'割当計算'!$F$8:$F$131,1,'割当計算'!$C$8:$C$131,"遅")&gt;0,"遅","休")))))</x:f>
        <x:v>早</x:v>
      </x:c>
      <x:c r="T7" s="16" t="str">
        <x:f>IF(T$5="","",IF('希望休'!T7="休","希休",IF('希望休'!T7&lt;&gt;"可","未確認",IF(COUNTIFS('割当計算'!$A$8:$A$131,T$5,'割当計算'!$F$8:$F$131,1,'割当計算'!$C$8:$C$131,"早")&gt;0,"早",IF(COUNTIFS('割当計算'!$A$8:$A$131,T$5,'割当計算'!$F$8:$F$131,1,'割当計算'!$C$8:$C$131,"遅")&gt;0,"遅","休")))))</x:f>
        <x:v>早</x:v>
      </x:c>
      <x:c r="U7" s="16" t="str">
        <x:f>IF(U$5="","",IF('希望休'!U7="休","希休",IF('希望休'!U7&lt;&gt;"可","未確認",IF(COUNTIFS('割当計算'!$A$8:$A$131,U$5,'割当計算'!$F$8:$F$131,1,'割当計算'!$C$8:$C$131,"早")&gt;0,"早",IF(COUNTIFS('割当計算'!$A$8:$A$131,U$5,'割当計算'!$F$8:$F$131,1,'割当計算'!$C$8:$C$131,"遅")&gt;0,"遅","休")))))</x:f>
        <x:v>遅</x:v>
      </x:c>
      <x:c r="V7" s="16" t="str">
        <x:f>IF(V$5="","",IF('希望休'!V7="休","希休",IF('希望休'!V7&lt;&gt;"可","未確認",IF(COUNTIFS('割当計算'!$A$8:$A$131,V$5,'割当計算'!$F$8:$F$131,1,'割当計算'!$C$8:$C$131,"早")&gt;0,"早",IF(COUNTIFS('割当計算'!$A$8:$A$131,V$5,'割当計算'!$F$8:$F$131,1,'割当計算'!$C$8:$C$131,"遅")&gt;0,"遅","休")))))</x:f>
        <x:v>休</x:v>
      </x:c>
      <x:c r="W7" s="16" t="str">
        <x:f>IF(W$5="","",IF('希望休'!W7="休","希休",IF('希望休'!W7&lt;&gt;"可","未確認",IF(COUNTIFS('割当計算'!$A$8:$A$131,W$5,'割当計算'!$F$8:$F$131,1,'割当計算'!$C$8:$C$131,"早")&gt;0,"早",IF(COUNTIFS('割当計算'!$A$8:$A$131,W$5,'割当計算'!$F$8:$F$131,1,'割当計算'!$C$8:$C$131,"遅")&gt;0,"遅","休")))))</x:f>
        <x:v>休</x:v>
      </x:c>
      <x:c r="X7" s="16" t="str">
        <x:f>IF(X$5="","",IF('希望休'!X7="休","希休",IF('希望休'!X7&lt;&gt;"可","未確認",IF(COUNTIFS('割当計算'!$A$8:$A$131,X$5,'割当計算'!$F$8:$F$131,1,'割当計算'!$C$8:$C$131,"早")&gt;0,"早",IF(COUNTIFS('割当計算'!$A$8:$A$131,X$5,'割当計算'!$F$8:$F$131,1,'割当計算'!$C$8:$C$131,"遅")&gt;0,"遅","休")))))</x:f>
        <x:v>早</x:v>
      </x:c>
      <x:c r="Y7" s="16" t="str">
        <x:f>IF(Y$5="","",IF('希望休'!Y7="休","希休",IF('希望休'!Y7&lt;&gt;"可","未確認",IF(COUNTIFS('割当計算'!$A$8:$A$131,Y$5,'割当計算'!$F$8:$F$131,1,'割当計算'!$C$8:$C$131,"早")&gt;0,"早",IF(COUNTIFS('割当計算'!$A$8:$A$131,Y$5,'割当計算'!$F$8:$F$131,1,'割当計算'!$C$8:$C$131,"遅")&gt;0,"遅","休")))))</x:f>
        <x:v>早</x:v>
      </x:c>
      <x:c r="Z7" s="16" t="str">
        <x:f>IF(Z$5="","",IF('希望休'!Z7="休","希休",IF('希望休'!Z7&lt;&gt;"可","未確認",IF(COUNTIFS('割当計算'!$A$8:$A$131,Z$5,'割当計算'!$F$8:$F$131,1,'割当計算'!$C$8:$C$131,"早")&gt;0,"早",IF(COUNTIFS('割当計算'!$A$8:$A$131,Z$5,'割当計算'!$F$8:$F$131,1,'割当計算'!$C$8:$C$131,"遅")&gt;0,"遅","休")))))</x:f>
        <x:v>早</x:v>
      </x:c>
      <x:c r="AA7" s="16" t="str">
        <x:f>IF(AA$5="","",IF('希望休'!AA7="休","希休",IF('希望休'!AA7&lt;&gt;"可","未確認",IF(COUNTIFS('割当計算'!$A$8:$A$131,AA$5,'割当計算'!$F$8:$F$131,1,'割当計算'!$C$8:$C$131,"早")&gt;0,"早",IF(COUNTIFS('割当計算'!$A$8:$A$131,AA$5,'割当計算'!$F$8:$F$131,1,'割当計算'!$C$8:$C$131,"遅")&gt;0,"遅","休")))))</x:f>
        <x:v>遅</x:v>
      </x:c>
      <x:c r="AB7" s="16" t="str">
        <x:f>IF(AB$5="","",IF('希望休'!AB7="休","希休",IF('希望休'!AB7&lt;&gt;"可","未確認",IF(COUNTIFS('割当計算'!$A$8:$A$131,AB$5,'割当計算'!$F$8:$F$131,1,'割当計算'!$C$8:$C$131,"早")&gt;0,"早",IF(COUNTIFS('割当計算'!$A$8:$A$131,AB$5,'割当計算'!$F$8:$F$131,1,'割当計算'!$C$8:$C$131,"遅")&gt;0,"遅","休")))))</x:f>
        <x:v>休</x:v>
      </x:c>
      <x:c r="AC7" s="16" t="str">
        <x:f>IF(AC$5="","",IF('希望休'!AC7="休","希休",IF('希望休'!AC7&lt;&gt;"可","未確認",IF(COUNTIFS('割当計算'!$A$8:$A$131,AC$5,'割当計算'!$F$8:$F$131,1,'割当計算'!$C$8:$C$131,"早")&gt;0,"早",IF(COUNTIFS('割当計算'!$A$8:$A$131,AC$5,'割当計算'!$F$8:$F$131,1,'割当計算'!$C$8:$C$131,"遅")&gt;0,"遅","休")))))</x:f>
        <x:v>休</x:v>
      </x:c>
      <x:c r="AD7" s="16" t="str">
        <x:f>IF(AD$5="","",IF('希望休'!AD7="休","希休",IF('希望休'!AD7&lt;&gt;"可","未確認",IF(COUNTIFS('割当計算'!$A$8:$A$131,AD$5,'割当計算'!$F$8:$F$131,1,'割当計算'!$C$8:$C$131,"早")&gt;0,"早",IF(COUNTIFS('割当計算'!$A$8:$A$131,AD$5,'割当計算'!$F$8:$F$131,1,'割当計算'!$C$8:$C$131,"遅")&gt;0,"遅","休")))))</x:f>
        <x:v>早</x:v>
      </x:c>
      <x:c r="AE7" s="16" t="str">
        <x:f>IF(AE$5="","",IF('希望休'!AE7="休","希休",IF('希望休'!AE7&lt;&gt;"可","未確認",IF(COUNTIFS('割当計算'!$A$8:$A$131,AE$5,'割当計算'!$F$8:$F$131,1,'割当計算'!$C$8:$C$131,"早")&gt;0,"早",IF(COUNTIFS('割当計算'!$A$8:$A$131,AE$5,'割当計算'!$F$8:$F$131,1,'割当計算'!$C$8:$C$131,"遅")&gt;0,"遅","休")))))</x:f>
        <x:v>早</x:v>
      </x:c>
      <x:c r="AF7" s="16" t="str">
        <x:f>IF(AF$5="","",IF('希望休'!AF7="休","希休",IF('希望休'!AF7&lt;&gt;"可","未確認",IF(COUNTIFS('割当計算'!$A$8:$A$131,AF$5,'割当計算'!$F$8:$F$131,1,'割当計算'!$C$8:$C$131,"早")&gt;0,"早",IF(COUNTIFS('割当計算'!$A$8:$A$131,AF$5,'割当計算'!$F$8:$F$131,1,'割当計算'!$C$8:$C$131,"遅")&gt;0,"遅","休")))))</x:f>
      </x:c>
      <x:c r="AG7" s="2" t="n">
        <x:f>COUNTIF(B7:AF7,"早")+COUNTIF(B7:AF7,"遅")</x:f>
        <x:v>20</x:v>
      </x:c>
      <x:c r="AH7" s="2" t="n">
        <x:f>MAX('割当計算'!M8:M131)</x:f>
        <x:v>4</x:v>
      </x:c>
      <x:c r="AI7" s="2"/>
      <x:c r="AJ7" s="2"/>
    </x:row>
    <x:row r="8" ht="24" customHeight="1">
      <x:c r="A8" s="2" t="str">
        <x:f>'設定'!B8</x:f>
        <x:v>スタッフB</x:v>
      </x:c>
      <x:c r="B8" s="16" t="str">
        <x:f>IF(B$5="","",IF('希望休'!B8="休","希休",IF('希望休'!B8&lt;&gt;"可","未確認",IF(COUNTIFS('割当計算'!$A$8:$A$131,B$5,'割当計算'!$F$8:$F$131,2,'割当計算'!$C$8:$C$131,"早")&gt;0,"早",IF(COUNTIFS('割当計算'!$A$8:$A$131,B$5,'割当計算'!$F$8:$F$131,2,'割当計算'!$C$8:$C$131,"遅")&gt;0,"遅","休")))))</x:f>
        <x:v>早</x:v>
      </x:c>
      <x:c r="C8" s="16" t="str">
        <x:f>IF(C$5="","",IF('希望休'!C8="休","希休",IF('希望休'!C8&lt;&gt;"可","未確認",IF(COUNTIFS('割当計算'!$A$8:$A$131,C$5,'割当計算'!$F$8:$F$131,2,'割当計算'!$C$8:$C$131,"早")&gt;0,"早",IF(COUNTIFS('割当計算'!$A$8:$A$131,C$5,'割当計算'!$F$8:$F$131,2,'割当計算'!$C$8:$C$131,"遅")&gt;0,"遅","休")))))</x:f>
        <x:v>希休</x:v>
      </x:c>
      <x:c r="D8" s="16" t="str">
        <x:f>IF(D$5="","",IF('希望休'!D8="休","希休",IF('希望休'!D8&lt;&gt;"可","未確認",IF(COUNTIFS('割当計算'!$A$8:$A$131,D$5,'割当計算'!$F$8:$F$131,2,'割当計算'!$C$8:$C$131,"早")&gt;0,"早",IF(COUNTIFS('割当計算'!$A$8:$A$131,D$5,'割当計算'!$F$8:$F$131,2,'割当計算'!$C$8:$C$131,"遅")&gt;0,"遅","休")))))</x:f>
        <x:v>遅</x:v>
      </x:c>
      <x:c r="E8" s="16" t="str">
        <x:f>IF(E$5="","",IF('希望休'!E8="休","希休",IF('希望休'!E8&lt;&gt;"可","未確認",IF(COUNTIFS('割当計算'!$A$8:$A$131,E$5,'割当計算'!$F$8:$F$131,2,'割当計算'!$C$8:$C$131,"早")&gt;0,"早",IF(COUNTIFS('割当計算'!$A$8:$A$131,E$5,'割当計算'!$F$8:$F$131,2,'割当計算'!$C$8:$C$131,"遅")&gt;0,"遅","休")))))</x:f>
        <x:v>休</x:v>
      </x:c>
      <x:c r="F8" s="16" t="str">
        <x:f>IF(F$5="","",IF('希望休'!F8="休","希休",IF('希望休'!F8&lt;&gt;"可","未確認",IF(COUNTIFS('割当計算'!$A$8:$A$131,F$5,'割当計算'!$F$8:$F$131,2,'割当計算'!$C$8:$C$131,"早")&gt;0,"早",IF(COUNTIFS('割当計算'!$A$8:$A$131,F$5,'割当計算'!$F$8:$F$131,2,'割当計算'!$C$8:$C$131,"遅")&gt;0,"遅","休")))))</x:f>
        <x:v>早</x:v>
      </x:c>
      <x:c r="G8" s="16" t="str">
        <x:f>IF(G$5="","",IF('希望休'!G8="休","希休",IF('希望休'!G8&lt;&gt;"可","未確認",IF(COUNTIFS('割当計算'!$A$8:$A$131,G$5,'割当計算'!$F$8:$F$131,2,'割当計算'!$C$8:$C$131,"早")&gt;0,"早",IF(COUNTIFS('割当計算'!$A$8:$A$131,G$5,'割当計算'!$F$8:$F$131,2,'割当計算'!$C$8:$C$131,"遅")&gt;0,"遅","休")))))</x:f>
        <x:v>早</x:v>
      </x:c>
      <x:c r="H8" s="16" t="str">
        <x:f>IF(H$5="","",IF('希望休'!H8="休","希休",IF('希望休'!H8&lt;&gt;"可","未確認",IF(COUNTIFS('割当計算'!$A$8:$A$131,H$5,'割当計算'!$F$8:$F$131,2,'割当計算'!$C$8:$C$131,"早")&gt;0,"早",IF(COUNTIFS('割当計算'!$A$8:$A$131,H$5,'割当計算'!$F$8:$F$131,2,'割当計算'!$C$8:$C$131,"遅")&gt;0,"遅","休")))))</x:f>
        <x:v>遅</x:v>
      </x:c>
      <x:c r="I8" s="16" t="str">
        <x:f>IF(I$5="","",IF('希望休'!I8="休","希休",IF('希望休'!I8&lt;&gt;"可","未確認",IF(COUNTIFS('割当計算'!$A$8:$A$131,I$5,'割当計算'!$F$8:$F$131,2,'割当計算'!$C$8:$C$131,"早")&gt;0,"早",IF(COUNTIFS('割当計算'!$A$8:$A$131,I$5,'割当計算'!$F$8:$F$131,2,'割当計算'!$C$8:$C$131,"遅")&gt;0,"遅","休")))))</x:f>
        <x:v>休</x:v>
      </x:c>
      <x:c r="J8" s="16" t="str">
        <x:f>IF(J$5="","",IF('希望休'!J8="休","希休",IF('希望休'!J8&lt;&gt;"可","未確認",IF(COUNTIFS('割当計算'!$A$8:$A$131,J$5,'割当計算'!$F$8:$F$131,2,'割当計算'!$C$8:$C$131,"早")&gt;0,"早",IF(COUNTIFS('割当計算'!$A$8:$A$131,J$5,'割当計算'!$F$8:$F$131,2,'割当計算'!$C$8:$C$131,"遅")&gt;0,"遅","休")))))</x:f>
        <x:v>遅</x:v>
      </x:c>
      <x:c r="K8" s="16" t="str">
        <x:f>IF(K$5="","",IF('希望休'!K8="休","希休",IF('希望休'!K8&lt;&gt;"可","未確認",IF(COUNTIFS('割当計算'!$A$8:$A$131,K$5,'割当計算'!$F$8:$F$131,2,'割当計算'!$C$8:$C$131,"早")&gt;0,"早",IF(COUNTIFS('割当計算'!$A$8:$A$131,K$5,'割当計算'!$F$8:$F$131,2,'割当計算'!$C$8:$C$131,"遅")&gt;0,"遅","休")))))</x:f>
        <x:v>休</x:v>
      </x:c>
      <x:c r="L8" s="16" t="str">
        <x:f>IF(L$5="","",IF('希望休'!L8="休","希休",IF('希望休'!L8&lt;&gt;"可","未確認",IF(COUNTIFS('割当計算'!$A$8:$A$131,L$5,'割当計算'!$F$8:$F$131,2,'割当計算'!$C$8:$C$131,"早")&gt;0,"早",IF(COUNTIFS('割当計算'!$A$8:$A$131,L$5,'割当計算'!$F$8:$F$131,2,'割当計算'!$C$8:$C$131,"遅")&gt;0,"遅","休")))))</x:f>
        <x:v>早</x:v>
      </x:c>
      <x:c r="M8" s="16" t="str">
        <x:f>IF(M$5="","",IF('希望休'!M8="休","希休",IF('希望休'!M8&lt;&gt;"可","未確認",IF(COUNTIFS('割当計算'!$A$8:$A$131,M$5,'割当計算'!$F$8:$F$131,2,'割当計算'!$C$8:$C$131,"早")&gt;0,"早",IF(COUNTIFS('割当計算'!$A$8:$A$131,M$5,'割当計算'!$F$8:$F$131,2,'割当計算'!$C$8:$C$131,"遅")&gt;0,"遅","休")))))</x:f>
        <x:v>早</x:v>
      </x:c>
      <x:c r="N8" s="16" t="str">
        <x:f>IF(N$5="","",IF('希望休'!N8="休","希休",IF('希望休'!N8&lt;&gt;"可","未確認",IF(COUNTIFS('割当計算'!$A$8:$A$131,N$5,'割当計算'!$F$8:$F$131,2,'割当計算'!$C$8:$C$131,"早")&gt;0,"早",IF(COUNTIFS('割当計算'!$A$8:$A$131,N$5,'割当計算'!$F$8:$F$131,2,'割当計算'!$C$8:$C$131,"遅")&gt;0,"遅","休")))))</x:f>
        <x:v>早</x:v>
      </x:c>
      <x:c r="O8" s="16" t="str">
        <x:f>IF(O$5="","",IF('希望休'!O8="休","希休",IF('希望休'!O8&lt;&gt;"可","未確認",IF(COUNTIFS('割当計算'!$A$8:$A$131,O$5,'割当計算'!$F$8:$F$131,2,'割当計算'!$C$8:$C$131,"早")&gt;0,"早",IF(COUNTIFS('割当計算'!$A$8:$A$131,O$5,'割当計算'!$F$8:$F$131,2,'割当計算'!$C$8:$C$131,"遅")&gt;0,"遅","休")))))</x:f>
        <x:v>希休</x:v>
      </x:c>
      <x:c r="P8" s="16" t="str">
        <x:f>IF(P$5="","",IF('希望休'!P8="休","希休",IF('希望休'!P8&lt;&gt;"可","未確認",IF(COUNTIFS('割当計算'!$A$8:$A$131,P$5,'割当計算'!$F$8:$F$131,2,'割当計算'!$C$8:$C$131,"早")&gt;0,"早",IF(COUNTIFS('割当計算'!$A$8:$A$131,P$5,'割当計算'!$F$8:$F$131,2,'割当計算'!$C$8:$C$131,"遅")&gt;0,"遅","休")))))</x:f>
        <x:v>遅</x:v>
      </x:c>
      <x:c r="Q8" s="16" t="str">
        <x:f>IF(Q$5="","",IF('希望休'!Q8="休","希休",IF('希望休'!Q8&lt;&gt;"可","未確認",IF(COUNTIFS('割当計算'!$A$8:$A$131,Q$5,'割当計算'!$F$8:$F$131,2,'割当計算'!$C$8:$C$131,"早")&gt;0,"早",IF(COUNTIFS('割当計算'!$A$8:$A$131,Q$5,'割当計算'!$F$8:$F$131,2,'割当計算'!$C$8:$C$131,"遅")&gt;0,"遅","休")))))</x:f>
        <x:v>休</x:v>
      </x:c>
      <x:c r="R8" s="16" t="str">
        <x:f>IF(R$5="","",IF('希望休'!R8="休","希休",IF('希望休'!R8&lt;&gt;"可","未確認",IF(COUNTIFS('割当計算'!$A$8:$A$131,R$5,'割当計算'!$F$8:$F$131,2,'割当計算'!$C$8:$C$131,"早")&gt;0,"早",IF(COUNTIFS('割当計算'!$A$8:$A$131,R$5,'割当計算'!$F$8:$F$131,2,'割当計算'!$C$8:$C$131,"遅")&gt;0,"遅","休")))))</x:f>
        <x:v>早</x:v>
      </x:c>
      <x:c r="S8" s="16" t="str">
        <x:f>IF(S$5="","",IF('希望休'!S8="休","希休",IF('希望休'!S8&lt;&gt;"可","未確認",IF(COUNTIFS('割当計算'!$A$8:$A$131,S$5,'割当計算'!$F$8:$F$131,2,'割当計算'!$C$8:$C$131,"早")&gt;0,"早",IF(COUNTIFS('割当計算'!$A$8:$A$131,S$5,'割当計算'!$F$8:$F$131,2,'割当計算'!$C$8:$C$131,"遅")&gt;0,"遅","休")))))</x:f>
        <x:v>早</x:v>
      </x:c>
      <x:c r="T8" s="16" t="str">
        <x:f>IF(T$5="","",IF('希望休'!T8="休","希休",IF('希望休'!T8&lt;&gt;"可","未確認",IF(COUNTIFS('割当計算'!$A$8:$A$131,T$5,'割当計算'!$F$8:$F$131,2,'割当計算'!$C$8:$C$131,"早")&gt;0,"早",IF(COUNTIFS('割当計算'!$A$8:$A$131,T$5,'割当計算'!$F$8:$F$131,2,'割当計算'!$C$8:$C$131,"遅")&gt;0,"遅","休")))))</x:f>
        <x:v>遅</x:v>
      </x:c>
      <x:c r="U8" s="16" t="str">
        <x:f>IF(U$5="","",IF('希望休'!U8="休","希休",IF('希望休'!U8&lt;&gt;"可","未確認",IF(COUNTIFS('割当計算'!$A$8:$A$131,U$5,'割当計算'!$F$8:$F$131,2,'割当計算'!$C$8:$C$131,"早")&gt;0,"早",IF(COUNTIFS('割当計算'!$A$8:$A$131,U$5,'割当計算'!$F$8:$F$131,2,'割当計算'!$C$8:$C$131,"遅")&gt;0,"遅","休")))))</x:f>
        <x:v>休</x:v>
      </x:c>
      <x:c r="V8" s="16" t="str">
        <x:f>IF(V$5="","",IF('希望休'!V8="休","希休",IF('希望休'!V8&lt;&gt;"可","未確認",IF(COUNTIFS('割当計算'!$A$8:$A$131,V$5,'割当計算'!$F$8:$F$131,2,'割当計算'!$C$8:$C$131,"早")&gt;0,"早",IF(COUNTIFS('割当計算'!$A$8:$A$131,V$5,'割当計算'!$F$8:$F$131,2,'割当計算'!$C$8:$C$131,"遅")&gt;0,"遅","休")))))</x:f>
        <x:v>遅</x:v>
      </x:c>
      <x:c r="W8" s="16" t="str">
        <x:f>IF(W$5="","",IF('希望休'!W8="休","希休",IF('希望休'!W8&lt;&gt;"可","未確認",IF(COUNTIFS('割当計算'!$A$8:$A$131,W$5,'割当計算'!$F$8:$F$131,2,'割当計算'!$C$8:$C$131,"早")&gt;0,"早",IF(COUNTIFS('割当計算'!$A$8:$A$131,W$5,'割当計算'!$F$8:$F$131,2,'割当計算'!$C$8:$C$131,"遅")&gt;0,"遅","休")))))</x:f>
        <x:v>休</x:v>
      </x:c>
      <x:c r="X8" s="16" t="str">
        <x:f>IF(X$5="","",IF('希望休'!X8="休","希休",IF('希望休'!X8&lt;&gt;"可","未確認",IF(COUNTIFS('割当計算'!$A$8:$A$131,X$5,'割当計算'!$F$8:$F$131,2,'割当計算'!$C$8:$C$131,"早")&gt;0,"早",IF(COUNTIFS('割当計算'!$A$8:$A$131,X$5,'割当計算'!$F$8:$F$131,2,'割当計算'!$C$8:$C$131,"遅")&gt;0,"遅","休")))))</x:f>
        <x:v>早</x:v>
      </x:c>
      <x:c r="Y8" s="16" t="str">
        <x:f>IF(Y$5="","",IF('希望休'!Y8="休","希休",IF('希望休'!Y8&lt;&gt;"可","未確認",IF(COUNTIFS('割当計算'!$A$8:$A$131,Y$5,'割当計算'!$F$8:$F$131,2,'割当計算'!$C$8:$C$131,"早")&gt;0,"早",IF(COUNTIFS('割当計算'!$A$8:$A$131,Y$5,'割当計算'!$F$8:$F$131,2,'割当計算'!$C$8:$C$131,"遅")&gt;0,"遅","休")))))</x:f>
        <x:v>早</x:v>
      </x:c>
      <x:c r="Z8" s="16" t="str">
        <x:f>IF(Z$5="","",IF('希望休'!Z8="休","希休",IF('希望休'!Z8&lt;&gt;"可","未確認",IF(COUNTIFS('割当計算'!$A$8:$A$131,Z$5,'割当計算'!$F$8:$F$131,2,'割当計算'!$C$8:$C$131,"早")&gt;0,"早",IF(COUNTIFS('割当計算'!$A$8:$A$131,Z$5,'割当計算'!$F$8:$F$131,2,'割当計算'!$C$8:$C$131,"遅")&gt;0,"遅","休")))))</x:f>
        <x:v>遅</x:v>
      </x:c>
      <x:c r="AA8" s="16" t="str">
        <x:f>IF(AA$5="","",IF('希望休'!AA8="休","希休",IF('希望休'!AA8&lt;&gt;"可","未確認",IF(COUNTIFS('割当計算'!$A$8:$A$131,AA$5,'割当計算'!$F$8:$F$131,2,'割当計算'!$C$8:$C$131,"早")&gt;0,"早",IF(COUNTIFS('割当計算'!$A$8:$A$131,AA$5,'割当計算'!$F$8:$F$131,2,'割当計算'!$C$8:$C$131,"遅")&gt;0,"遅","休")))))</x:f>
        <x:v>休</x:v>
      </x:c>
      <x:c r="AB8" s="16" t="str">
        <x:f>IF(AB$5="","",IF('希望休'!AB8="休","希休",IF('希望休'!AB8&lt;&gt;"可","未確認",IF(COUNTIFS('割当計算'!$A$8:$A$131,AB$5,'割当計算'!$F$8:$F$131,2,'割当計算'!$C$8:$C$131,"早")&gt;0,"早",IF(COUNTIFS('割当計算'!$A$8:$A$131,AB$5,'割当計算'!$F$8:$F$131,2,'割当計算'!$C$8:$C$131,"遅")&gt;0,"遅","休")))))</x:f>
        <x:v>遅</x:v>
      </x:c>
      <x:c r="AC8" s="16" t="str">
        <x:f>IF(AC$5="","",IF('希望休'!AC8="休","希休",IF('希望休'!AC8&lt;&gt;"可","未確認",IF(COUNTIFS('割当計算'!$A$8:$A$131,AC$5,'割当計算'!$F$8:$F$131,2,'割当計算'!$C$8:$C$131,"早")&gt;0,"早",IF(COUNTIFS('割当計算'!$A$8:$A$131,AC$5,'割当計算'!$F$8:$F$131,2,'割当計算'!$C$8:$C$131,"遅")&gt;0,"遅","休")))))</x:f>
        <x:v>休</x:v>
      </x:c>
      <x:c r="AD8" s="16" t="str">
        <x:f>IF(AD$5="","",IF('希望休'!AD8="休","希休",IF('希望休'!AD8&lt;&gt;"可","未確認",IF(COUNTIFS('割当計算'!$A$8:$A$131,AD$5,'割当計算'!$F$8:$F$131,2,'割当計算'!$C$8:$C$131,"早")&gt;0,"早",IF(COUNTIFS('割当計算'!$A$8:$A$131,AD$5,'割当計算'!$F$8:$F$131,2,'割当計算'!$C$8:$C$131,"遅")&gt;0,"遅","休")))))</x:f>
        <x:v>早</x:v>
      </x:c>
      <x:c r="AE8" s="16" t="str">
        <x:f>IF(AE$5="","",IF('希望休'!AE8="休","希休",IF('希望休'!AE8&lt;&gt;"可","未確認",IF(COUNTIFS('割当計算'!$A$8:$A$131,AE$5,'割当計算'!$F$8:$F$131,2,'割当計算'!$C$8:$C$131,"早")&gt;0,"早",IF(COUNTIFS('割当計算'!$A$8:$A$131,AE$5,'割当計算'!$F$8:$F$131,2,'割当計算'!$C$8:$C$131,"遅")&gt;0,"遅","休")))))</x:f>
        <x:v>早</x:v>
      </x:c>
      <x:c r="AF8" s="16" t="str">
        <x:f>IF(AF$5="","",IF('希望休'!AF8="休","希休",IF('希望休'!AF8&lt;&gt;"可","未確認",IF(COUNTIFS('割当計算'!$A$8:$A$131,AF$5,'割当計算'!$F$8:$F$131,2,'割当計算'!$C$8:$C$131,"早")&gt;0,"早",IF(COUNTIFS('割当計算'!$A$8:$A$131,AF$5,'割当計算'!$F$8:$F$131,2,'割当計算'!$C$8:$C$131,"遅")&gt;0,"遅","休")))))</x:f>
      </x:c>
      <x:c r="AG8" s="2" t="n">
        <x:f>COUNTIF(B8:AF8,"早")+COUNTIF(B8:AF8,"遅")</x:f>
        <x:v>20</x:v>
      </x:c>
      <x:c r="AH8" s="2" t="n">
        <x:f>MAX('割当計算'!N8:N131)</x:f>
        <x:v>3</x:v>
      </x:c>
      <x:c r="AI8" s="2"/>
      <x:c r="AJ8" s="2"/>
    </x:row>
    <x:row r="9" ht="24" customHeight="1">
      <x:c r="A9" s="2" t="str">
        <x:f>'設定'!B9</x:f>
        <x:v>スタッフC</x:v>
      </x:c>
      <x:c r="B9" s="16" t="str">
        <x:f>IF(B$5="","",IF('希望休'!B9="休","希休",IF('希望休'!B9&lt;&gt;"可","未確認",IF(COUNTIFS('割当計算'!$A$8:$A$131,B$5,'割当計算'!$F$8:$F$131,3,'割当計算'!$C$8:$C$131,"早")&gt;0,"早",IF(COUNTIFS('割当計算'!$A$8:$A$131,B$5,'割当計算'!$F$8:$F$131,3,'割当計算'!$C$8:$C$131,"遅")&gt;0,"遅","休")))))</x:f>
        <x:v>遅</x:v>
      </x:c>
      <x:c r="C9" s="16" t="str">
        <x:f>IF(C$5="","",IF('希望休'!C9="休","希休",IF('希望休'!C9&lt;&gt;"可","未確認",IF(COUNTIFS('割当計算'!$A$8:$A$131,C$5,'割当計算'!$F$8:$F$131,3,'割当計算'!$C$8:$C$131,"早")&gt;0,"早",IF(COUNTIFS('割当計算'!$A$8:$A$131,C$5,'割当計算'!$F$8:$F$131,3,'割当計算'!$C$8:$C$131,"遅")&gt;0,"遅","休")))))</x:f>
        <x:v>遅</x:v>
      </x:c>
      <x:c r="D9" s="16" t="str">
        <x:f>IF(D$5="","",IF('希望休'!D9="休","希休",IF('希望休'!D9&lt;&gt;"可","未確認",IF(COUNTIFS('割当計算'!$A$8:$A$131,D$5,'割当計算'!$F$8:$F$131,3,'割当計算'!$C$8:$C$131,"早")&gt;0,"早",IF(COUNTIFS('割当計算'!$A$8:$A$131,D$5,'割当計算'!$F$8:$F$131,3,'割当計算'!$C$8:$C$131,"遅")&gt;0,"遅","休")))))</x:f>
        <x:v>希休</x:v>
      </x:c>
      <x:c r="E9" s="16" t="str">
        <x:f>IF(E$5="","",IF('希望休'!E9="休","希休",IF('希望休'!E9&lt;&gt;"可","未確認",IF(COUNTIFS('割当計算'!$A$8:$A$131,E$5,'割当計算'!$F$8:$F$131,3,'割当計算'!$C$8:$C$131,"早")&gt;0,"早",IF(COUNTIFS('割当計算'!$A$8:$A$131,E$5,'割当計算'!$F$8:$F$131,3,'割当計算'!$C$8:$C$131,"遅")&gt;0,"遅","休")))))</x:f>
        <x:v>早</x:v>
      </x:c>
      <x:c r="F9" s="16" t="str">
        <x:f>IF(F$5="","",IF('希望休'!F9="休","希休",IF('希望休'!F9&lt;&gt;"可","未確認",IF(COUNTIFS('割当計算'!$A$8:$A$131,F$5,'割当計算'!$F$8:$F$131,3,'割当計算'!$C$8:$C$131,"早")&gt;0,"早",IF(COUNTIFS('割当計算'!$A$8:$A$131,F$5,'割当計算'!$F$8:$F$131,3,'割当計算'!$C$8:$C$131,"遅")&gt;0,"遅","休")))))</x:f>
        <x:v>遅</x:v>
      </x:c>
      <x:c r="G9" s="16" t="str">
        <x:f>IF(G$5="","",IF('希望休'!G9="休","希休",IF('希望休'!G9&lt;&gt;"可","未確認",IF(COUNTIFS('割当計算'!$A$8:$A$131,G$5,'割当計算'!$F$8:$F$131,3,'割当計算'!$C$8:$C$131,"早")&gt;0,"早",IF(COUNTIFS('割当計算'!$A$8:$A$131,G$5,'割当計算'!$F$8:$F$131,3,'割当計算'!$C$8:$C$131,"遅")&gt;0,"遅","休")))))</x:f>
        <x:v>休</x:v>
      </x:c>
      <x:c r="H9" s="16" t="str">
        <x:f>IF(H$5="","",IF('希望休'!H9="休","希休",IF('希望休'!H9&lt;&gt;"可","未確認",IF(COUNTIFS('割当計算'!$A$8:$A$131,H$5,'割当計算'!$F$8:$F$131,3,'割当計算'!$C$8:$C$131,"早")&gt;0,"早",IF(COUNTIFS('割当計算'!$A$8:$A$131,H$5,'割当計算'!$F$8:$F$131,3,'割当計算'!$C$8:$C$131,"遅")&gt;0,"遅","休")))))</x:f>
        <x:v>遅</x:v>
      </x:c>
      <x:c r="I9" s="16" t="str">
        <x:f>IF(I$5="","",IF('希望休'!I9="休","希休",IF('希望休'!I9&lt;&gt;"可","未確認",IF(COUNTIFS('割当計算'!$A$8:$A$131,I$5,'割当計算'!$F$8:$F$131,3,'割当計算'!$C$8:$C$131,"早")&gt;0,"早",IF(COUNTIFS('割当計算'!$A$8:$A$131,I$5,'割当計算'!$F$8:$F$131,3,'割当計算'!$C$8:$C$131,"遅")&gt;0,"遅","休")))))</x:f>
        <x:v>休</x:v>
      </x:c>
      <x:c r="J9" s="16" t="str">
        <x:f>IF(J$5="","",IF('希望休'!J9="休","希休",IF('希望休'!J9&lt;&gt;"可","未確認",IF(COUNTIFS('割当計算'!$A$8:$A$131,J$5,'割当計算'!$F$8:$F$131,3,'割当計算'!$C$8:$C$131,"早")&gt;0,"早",IF(COUNTIFS('割当計算'!$A$8:$A$131,J$5,'割当計算'!$F$8:$F$131,3,'割当計算'!$C$8:$C$131,"遅")&gt;0,"遅","休")))))</x:f>
        <x:v>遅</x:v>
      </x:c>
      <x:c r="K9" s="16" t="str">
        <x:f>IF(K$5="","",IF('希望休'!K9="休","希休",IF('希望休'!K9&lt;&gt;"可","未確認",IF(COUNTIFS('割当計算'!$A$8:$A$131,K$5,'割当計算'!$F$8:$F$131,3,'割当計算'!$C$8:$C$131,"早")&gt;0,"早",IF(COUNTIFS('割当計算'!$A$8:$A$131,K$5,'割当計算'!$F$8:$F$131,3,'割当計算'!$C$8:$C$131,"遅")&gt;0,"遅","休")))))</x:f>
        <x:v>早</x:v>
      </x:c>
      <x:c r="L9" s="16" t="str">
        <x:f>IF(L$5="","",IF('希望休'!L9="休","希休",IF('希望休'!L9&lt;&gt;"可","未確認",IF(COUNTIFS('割当計算'!$A$8:$A$131,L$5,'割当計算'!$F$8:$F$131,3,'割当計算'!$C$8:$C$131,"早")&gt;0,"早",IF(COUNTIFS('割当計算'!$A$8:$A$131,L$5,'割当計算'!$F$8:$F$131,3,'割当計算'!$C$8:$C$131,"遅")&gt;0,"遅","休")))))</x:f>
        <x:v>遅</x:v>
      </x:c>
      <x:c r="M9" s="16" t="str">
        <x:f>IF(M$5="","",IF('希望休'!M9="休","希休",IF('希望休'!M9&lt;&gt;"可","未確認",IF(COUNTIFS('割当計算'!$A$8:$A$131,M$5,'割当計算'!$F$8:$F$131,3,'割当計算'!$C$8:$C$131,"早")&gt;0,"早",IF(COUNTIFS('割当計算'!$A$8:$A$131,M$5,'割当計算'!$F$8:$F$131,3,'割当計算'!$C$8:$C$131,"遅")&gt;0,"遅","休")))))</x:f>
        <x:v>休</x:v>
      </x:c>
      <x:c r="N9" s="16" t="str">
        <x:f>IF(N$5="","",IF('希望休'!N9="休","希休",IF('希望休'!N9&lt;&gt;"可","未確認",IF(COUNTIFS('割当計算'!$A$8:$A$131,N$5,'割当計算'!$F$8:$F$131,3,'割当計算'!$C$8:$C$131,"早")&gt;0,"早",IF(COUNTIFS('割当計算'!$A$8:$A$131,N$5,'割当計算'!$F$8:$F$131,3,'割当計算'!$C$8:$C$131,"遅")&gt;0,"遅","休")))))</x:f>
        <x:v>遅</x:v>
      </x:c>
      <x:c r="O9" s="16" t="str">
        <x:f>IF(O$5="","",IF('希望休'!O9="休","希休",IF('希望休'!O9&lt;&gt;"可","未確認",IF(COUNTIFS('割当計算'!$A$8:$A$131,O$5,'割当計算'!$F$8:$F$131,3,'割当計算'!$C$8:$C$131,"早")&gt;0,"早",IF(COUNTIFS('割当計算'!$A$8:$A$131,O$5,'割当計算'!$F$8:$F$131,3,'割当計算'!$C$8:$C$131,"遅")&gt;0,"遅","休")))))</x:f>
        <x:v>遅</x:v>
      </x:c>
      <x:c r="P9" s="16" t="str">
        <x:f>IF(P$5="","",IF('希望休'!P9="休","希休",IF('希望休'!P9&lt;&gt;"可","未確認",IF(COUNTIFS('割当計算'!$A$8:$A$131,P$5,'割当計算'!$F$8:$F$131,3,'割当計算'!$C$8:$C$131,"早")&gt;0,"早",IF(COUNTIFS('割当計算'!$A$8:$A$131,P$5,'割当計算'!$F$8:$F$131,3,'割当計算'!$C$8:$C$131,"遅")&gt;0,"遅","休")))))</x:f>
        <x:v>希休</x:v>
      </x:c>
      <x:c r="Q9" s="16" t="str">
        <x:f>IF(Q$5="","",IF('希望休'!Q9="休","希休",IF('希望休'!Q9&lt;&gt;"可","未確認",IF(COUNTIFS('割当計算'!$A$8:$A$131,Q$5,'割当計算'!$F$8:$F$131,3,'割当計算'!$C$8:$C$131,"早")&gt;0,"早",IF(COUNTIFS('割当計算'!$A$8:$A$131,Q$5,'割当計算'!$F$8:$F$131,3,'割当計算'!$C$8:$C$131,"遅")&gt;0,"遅","休")))))</x:f>
        <x:v>早</x:v>
      </x:c>
      <x:c r="R9" s="16" t="str">
        <x:f>IF(R$5="","",IF('希望休'!R9="休","希休",IF('希望休'!R9&lt;&gt;"可","未確認",IF(COUNTIFS('割当計算'!$A$8:$A$131,R$5,'割当計算'!$F$8:$F$131,3,'割当計算'!$C$8:$C$131,"早")&gt;0,"早",IF(COUNTIFS('割当計算'!$A$8:$A$131,R$5,'割当計算'!$F$8:$F$131,3,'割当計算'!$C$8:$C$131,"遅")&gt;0,"遅","休")))))</x:f>
        <x:v>遅</x:v>
      </x:c>
      <x:c r="S9" s="16" t="str">
        <x:f>IF(S$5="","",IF('希望休'!S9="休","希休",IF('希望休'!S9&lt;&gt;"可","未確認",IF(COUNTIFS('割当計算'!$A$8:$A$131,S$5,'割当計算'!$F$8:$F$131,3,'割当計算'!$C$8:$C$131,"早")&gt;0,"早",IF(COUNTIFS('割当計算'!$A$8:$A$131,S$5,'割当計算'!$F$8:$F$131,3,'割当計算'!$C$8:$C$131,"遅")&gt;0,"遅","休")))))</x:f>
        <x:v>休</x:v>
      </x:c>
      <x:c r="T9" s="16" t="str">
        <x:f>IF(T$5="","",IF('希望休'!T9="休","希休",IF('希望休'!T9&lt;&gt;"可","未確認",IF(COUNTIFS('割当計算'!$A$8:$A$131,T$5,'割当計算'!$F$8:$F$131,3,'割当計算'!$C$8:$C$131,"早")&gt;0,"早",IF(COUNTIFS('割当計算'!$A$8:$A$131,T$5,'割当計算'!$F$8:$F$131,3,'割当計算'!$C$8:$C$131,"遅")&gt;0,"遅","休")))))</x:f>
        <x:v>遅</x:v>
      </x:c>
      <x:c r="U9" s="16" t="str">
        <x:f>IF(U$5="","",IF('希望休'!U9="休","希休",IF('希望休'!U9&lt;&gt;"可","未確認",IF(COUNTIFS('割当計算'!$A$8:$A$131,U$5,'割当計算'!$F$8:$F$131,3,'割当計算'!$C$8:$C$131,"早")&gt;0,"早",IF(COUNTIFS('割当計算'!$A$8:$A$131,U$5,'割当計算'!$F$8:$F$131,3,'割当計算'!$C$8:$C$131,"遅")&gt;0,"遅","休")))))</x:f>
        <x:v>休</x:v>
      </x:c>
      <x:c r="V9" s="16" t="str">
        <x:f>IF(V$5="","",IF('希望休'!V9="休","希休",IF('希望休'!V9&lt;&gt;"可","未確認",IF(COUNTIFS('割当計算'!$A$8:$A$131,V$5,'割当計算'!$F$8:$F$131,3,'割当計算'!$C$8:$C$131,"早")&gt;0,"早",IF(COUNTIFS('割当計算'!$A$8:$A$131,V$5,'割当計算'!$F$8:$F$131,3,'割当計算'!$C$8:$C$131,"遅")&gt;0,"遅","休")))))</x:f>
        <x:v>遅</x:v>
      </x:c>
      <x:c r="W9" s="16" t="str">
        <x:f>IF(W$5="","",IF('希望休'!W9="休","希休",IF('希望休'!W9&lt;&gt;"可","未確認",IF(COUNTIFS('割当計算'!$A$8:$A$131,W$5,'割当計算'!$F$8:$F$131,3,'割当計算'!$C$8:$C$131,"早")&gt;0,"早",IF(COUNTIFS('割当計算'!$A$8:$A$131,W$5,'割当計算'!$F$8:$F$131,3,'割当計算'!$C$8:$C$131,"遅")&gt;0,"遅","休")))))</x:f>
        <x:v>早</x:v>
      </x:c>
      <x:c r="X9" s="16" t="str">
        <x:f>IF(X$5="","",IF('希望休'!X9="休","希休",IF('希望休'!X9&lt;&gt;"可","未確認",IF(COUNTIFS('割当計算'!$A$8:$A$131,X$5,'割当計算'!$F$8:$F$131,3,'割当計算'!$C$8:$C$131,"早")&gt;0,"早",IF(COUNTIFS('割当計算'!$A$8:$A$131,X$5,'割当計算'!$F$8:$F$131,3,'割当計算'!$C$8:$C$131,"遅")&gt;0,"遅","休")))))</x:f>
        <x:v>遅</x:v>
      </x:c>
      <x:c r="Y9" s="16" t="str">
        <x:f>IF(Y$5="","",IF('希望休'!Y9="休","希休",IF('希望休'!Y9&lt;&gt;"可","未確認",IF(COUNTIFS('割当計算'!$A$8:$A$131,Y$5,'割当計算'!$F$8:$F$131,3,'割当計算'!$C$8:$C$131,"早")&gt;0,"早",IF(COUNTIFS('割当計算'!$A$8:$A$131,Y$5,'割当計算'!$F$8:$F$131,3,'割当計算'!$C$8:$C$131,"遅")&gt;0,"遅","休")))))</x:f>
        <x:v>休</x:v>
      </x:c>
      <x:c r="Z9" s="16" t="str">
        <x:f>IF(Z$5="","",IF('希望休'!Z9="休","希休",IF('希望休'!Z9&lt;&gt;"可","未確認",IF(COUNTIFS('割当計算'!$A$8:$A$131,Z$5,'割当計算'!$F$8:$F$131,3,'割当計算'!$C$8:$C$131,"早")&gt;0,"早",IF(COUNTIFS('割当計算'!$A$8:$A$131,Z$5,'割当計算'!$F$8:$F$131,3,'割当計算'!$C$8:$C$131,"遅")&gt;0,"遅","休")))))</x:f>
        <x:v>遅</x:v>
      </x:c>
      <x:c r="AA9" s="16" t="str">
        <x:f>IF(AA$5="","",IF('希望休'!AA9="休","希休",IF('希望休'!AA9&lt;&gt;"可","未確認",IF(COUNTIFS('割当計算'!$A$8:$A$131,AA$5,'割当計算'!$F$8:$F$131,3,'割当計算'!$C$8:$C$131,"早")&gt;0,"早",IF(COUNTIFS('割当計算'!$A$8:$A$131,AA$5,'割当計算'!$F$8:$F$131,3,'割当計算'!$C$8:$C$131,"遅")&gt;0,"遅","休")))))</x:f>
        <x:v>休</x:v>
      </x:c>
      <x:c r="AB9" s="16" t="str">
        <x:f>IF(AB$5="","",IF('希望休'!AB9="休","希休",IF('希望休'!AB9&lt;&gt;"可","未確認",IF(COUNTIFS('割当計算'!$A$8:$A$131,AB$5,'割当計算'!$F$8:$F$131,3,'割当計算'!$C$8:$C$131,"早")&gt;0,"早",IF(COUNTIFS('割当計算'!$A$8:$A$131,AB$5,'割当計算'!$F$8:$F$131,3,'割当計算'!$C$8:$C$131,"遅")&gt;0,"遅","休")))))</x:f>
        <x:v>遅</x:v>
      </x:c>
      <x:c r="AC9" s="16" t="str">
        <x:f>IF(AC$5="","",IF('希望休'!AC9="休","希休",IF('希望休'!AC9&lt;&gt;"可","未確認",IF(COUNTIFS('割当計算'!$A$8:$A$131,AC$5,'割当計算'!$F$8:$F$131,3,'割当計算'!$C$8:$C$131,"早")&gt;0,"早",IF(COUNTIFS('割当計算'!$A$8:$A$131,AC$5,'割当計算'!$F$8:$F$131,3,'割当計算'!$C$8:$C$131,"遅")&gt;0,"遅","休")))))</x:f>
        <x:v>早</x:v>
      </x:c>
      <x:c r="AD9" s="16" t="str">
        <x:f>IF(AD$5="","",IF('希望休'!AD9="休","希休",IF('希望休'!AD9&lt;&gt;"可","未確認",IF(COUNTIFS('割当計算'!$A$8:$A$131,AD$5,'割当計算'!$F$8:$F$131,3,'割当計算'!$C$8:$C$131,"早")&gt;0,"早",IF(COUNTIFS('割当計算'!$A$8:$A$131,AD$5,'割当計算'!$F$8:$F$131,3,'割当計算'!$C$8:$C$131,"遅")&gt;0,"遅","休")))))</x:f>
        <x:v>遅</x:v>
      </x:c>
      <x:c r="AE9" s="16" t="str">
        <x:f>IF(AE$5="","",IF('希望休'!AE9="休","希休",IF('希望休'!AE9&lt;&gt;"可","未確認",IF(COUNTIFS('割当計算'!$A$8:$A$131,AE$5,'割当計算'!$F$8:$F$131,3,'割当計算'!$C$8:$C$131,"早")&gt;0,"早",IF(COUNTIFS('割当計算'!$A$8:$A$131,AE$5,'割当計算'!$F$8:$F$131,3,'割当計算'!$C$8:$C$131,"遅")&gt;0,"遅","休")))))</x:f>
        <x:v>休</x:v>
      </x:c>
      <x:c r="AF9" s="16" t="str">
        <x:f>IF(AF$5="","",IF('希望休'!AF9="休","希休",IF('希望休'!AF9&lt;&gt;"可","未確認",IF(COUNTIFS('割当計算'!$A$8:$A$131,AF$5,'割当計算'!$F$8:$F$131,3,'割当計算'!$C$8:$C$131,"早")&gt;0,"早",IF(COUNTIFS('割当計算'!$A$8:$A$131,AF$5,'割当計算'!$F$8:$F$131,3,'割当計算'!$C$8:$C$131,"遅")&gt;0,"遅","休")))))</x:f>
      </x:c>
      <x:c r="AG9" s="2" t="n">
        <x:f>COUNTIF(B9:AF9,"早")+COUNTIF(B9:AF9,"遅")</x:f>
        <x:v>20</x:v>
      </x:c>
      <x:c r="AH9" s="2" t="n">
        <x:f>MAX('割当計算'!O8:O131)</x:f>
        <x:v>3</x:v>
      </x:c>
      <x:c r="AI9" s="2"/>
      <x:c r="AJ9" s="2"/>
    </x:row>
    <x:row r="10" ht="24" customHeight="1">
      <x:c r="A10" s="2" t="str">
        <x:f>'設定'!B10</x:f>
        <x:v>スタッフD</x:v>
      </x:c>
      <x:c r="B10" s="16" t="str">
        <x:f>IF(B$5="","",IF('希望休'!B10="休","希休",IF('希望休'!B10&lt;&gt;"可","未確認",IF(COUNTIFS('割当計算'!$A$8:$A$131,B$5,'割当計算'!$F$8:$F$131,4,'割当計算'!$C$8:$C$131,"早")&gt;0,"早",IF(COUNTIFS('割当計算'!$A$8:$A$131,B$5,'割当計算'!$F$8:$F$131,4,'割当計算'!$C$8:$C$131,"遅")&gt;0,"遅","休")))))</x:f>
        <x:v>遅</x:v>
      </x:c>
      <x:c r="C10" s="16" t="str">
        <x:f>IF(C$5="","",IF('希望休'!C10="休","希休",IF('希望休'!C10&lt;&gt;"可","未確認",IF(COUNTIFS('割当計算'!$A$8:$A$131,C$5,'割当計算'!$F$8:$F$131,4,'割当計算'!$C$8:$C$131,"早")&gt;0,"早",IF(COUNTIFS('割当計算'!$A$8:$A$131,C$5,'割当計算'!$F$8:$F$131,4,'割当計算'!$C$8:$C$131,"遅")&gt;0,"遅","休")))))</x:f>
        <x:v>休</x:v>
      </x:c>
      <x:c r="D10" s="16" t="str">
        <x:f>IF(D$5="","",IF('希望休'!D10="休","希休",IF('希望休'!D10&lt;&gt;"可","未確認",IF(COUNTIFS('割当計算'!$A$8:$A$131,D$5,'割当計算'!$F$8:$F$131,4,'割当計算'!$C$8:$C$131,"早")&gt;0,"早",IF(COUNTIFS('割当計算'!$A$8:$A$131,D$5,'割当計算'!$F$8:$F$131,4,'割当計算'!$C$8:$C$131,"遅")&gt;0,"遅","休")))))</x:f>
        <x:v>早</x:v>
      </x:c>
      <x:c r="E10" s="16" t="str">
        <x:f>IF(E$5="","",IF('希望休'!E10="休","希休",IF('希望休'!E10&lt;&gt;"可","未確認",IF(COUNTIFS('割当計算'!$A$8:$A$131,E$5,'割当計算'!$F$8:$F$131,4,'割当計算'!$C$8:$C$131,"早")&gt;0,"早",IF(COUNTIFS('割当計算'!$A$8:$A$131,E$5,'割当計算'!$F$8:$F$131,4,'割当計算'!$C$8:$C$131,"遅")&gt;0,"遅","休")))))</x:f>
        <x:v>希休</x:v>
      </x:c>
      <x:c r="F10" s="16" t="str">
        <x:f>IF(F$5="","",IF('希望休'!F10="休","希休",IF('希望休'!F10&lt;&gt;"可","未確認",IF(COUNTIFS('割当計算'!$A$8:$A$131,F$5,'割当計算'!$F$8:$F$131,4,'割当計算'!$C$8:$C$131,"早")&gt;0,"早",IF(COUNTIFS('割当計算'!$A$8:$A$131,F$5,'割当計算'!$F$8:$F$131,4,'割当計算'!$C$8:$C$131,"遅")&gt;0,"遅","休")))))</x:f>
        <x:v>早</x:v>
      </x:c>
      <x:c r="G10" s="16" t="str">
        <x:f>IF(G$5="","",IF('希望休'!G10="休","希休",IF('希望休'!G10&lt;&gt;"可","未確認",IF(COUNTIFS('割当計算'!$A$8:$A$131,G$5,'割当計算'!$F$8:$F$131,4,'割当計算'!$C$8:$C$131,"早")&gt;0,"早",IF(COUNTIFS('割当計算'!$A$8:$A$131,G$5,'割当計算'!$F$8:$F$131,4,'割当計算'!$C$8:$C$131,"遅")&gt;0,"遅","休")))))</x:f>
        <x:v>遅</x:v>
      </x:c>
      <x:c r="H10" s="16" t="str">
        <x:f>IF(H$5="","",IF('希望休'!H10="休","希休",IF('希望休'!H10&lt;&gt;"可","未確認",IF(COUNTIFS('割当計算'!$A$8:$A$131,H$5,'割当計算'!$F$8:$F$131,4,'割当計算'!$C$8:$C$131,"早")&gt;0,"早",IF(COUNTIFS('割当計算'!$A$8:$A$131,H$5,'割当計算'!$F$8:$F$131,4,'割当計算'!$C$8:$C$131,"遅")&gt;0,"遅","休")))))</x:f>
        <x:v>休</x:v>
      </x:c>
      <x:c r="I10" s="16" t="str">
        <x:f>IF(I$5="","",IF('希望休'!I10="休","希休",IF('希望休'!I10&lt;&gt;"可","未確認",IF(COUNTIFS('割当計算'!$A$8:$A$131,I$5,'割当計算'!$F$8:$F$131,4,'割当計算'!$C$8:$C$131,"早")&gt;0,"早",IF(COUNTIFS('割当計算'!$A$8:$A$131,I$5,'割当計算'!$F$8:$F$131,4,'割当計算'!$C$8:$C$131,"遅")&gt;0,"遅","休")))))</x:f>
        <x:v>早</x:v>
      </x:c>
      <x:c r="J10" s="16" t="str">
        <x:f>IF(J$5="","",IF('希望休'!J10="休","希休",IF('希望休'!J10&lt;&gt;"可","未確認",IF(COUNTIFS('割当計算'!$A$8:$A$131,J$5,'割当計算'!$F$8:$F$131,4,'割当計算'!$C$8:$C$131,"早")&gt;0,"早",IF(COUNTIFS('割当計算'!$A$8:$A$131,J$5,'割当計算'!$F$8:$F$131,4,'割当計算'!$C$8:$C$131,"遅")&gt;0,"遅","休")))))</x:f>
        <x:v>早</x:v>
      </x:c>
      <x:c r="K10" s="16" t="str">
        <x:f>IF(K$5="","",IF('希望休'!K10="休","希休",IF('希望休'!K10&lt;&gt;"可","未確認",IF(COUNTIFS('割当計算'!$A$8:$A$131,K$5,'割当計算'!$F$8:$F$131,4,'割当計算'!$C$8:$C$131,"早")&gt;0,"早",IF(COUNTIFS('割当計算'!$A$8:$A$131,K$5,'割当計算'!$F$8:$F$131,4,'割当計算'!$C$8:$C$131,"遅")&gt;0,"遅","休")))))</x:f>
        <x:v>早</x:v>
      </x:c>
      <x:c r="L10" s="16" t="str">
        <x:f>IF(L$5="","",IF('希望休'!L10="休","希休",IF('希望休'!L10&lt;&gt;"可","未確認",IF(COUNTIFS('割当計算'!$A$8:$A$131,L$5,'割当計算'!$F$8:$F$131,4,'割当計算'!$C$8:$C$131,"早")&gt;0,"早",IF(COUNTIFS('割当計算'!$A$8:$A$131,L$5,'割当計算'!$F$8:$F$131,4,'割当計算'!$C$8:$C$131,"遅")&gt;0,"遅","休")))))</x:f>
        <x:v>遅</x:v>
      </x:c>
      <x:c r="M10" s="16" t="str">
        <x:f>IF(M$5="","",IF('希望休'!M10="休","希休",IF('希望休'!M10&lt;&gt;"可","未確認",IF(COUNTIFS('割当計算'!$A$8:$A$131,M$5,'割当計算'!$F$8:$F$131,4,'割当計算'!$C$8:$C$131,"早")&gt;0,"早",IF(COUNTIFS('割当計算'!$A$8:$A$131,M$5,'割当計算'!$F$8:$F$131,4,'割当計算'!$C$8:$C$131,"遅")&gt;0,"遅","休")))))</x:f>
        <x:v>休</x:v>
      </x:c>
      <x:c r="N10" s="16" t="str">
        <x:f>IF(N$5="","",IF('希望休'!N10="休","希休",IF('希望休'!N10&lt;&gt;"可","未確認",IF(COUNTIFS('割当計算'!$A$8:$A$131,N$5,'割当計算'!$F$8:$F$131,4,'割当計算'!$C$8:$C$131,"早")&gt;0,"早",IF(COUNTIFS('割当計算'!$A$8:$A$131,N$5,'割当計算'!$F$8:$F$131,4,'割当計算'!$C$8:$C$131,"遅")&gt;0,"遅","休")))))</x:f>
        <x:v>遅</x:v>
      </x:c>
      <x:c r="O10" s="16" t="str">
        <x:f>IF(O$5="","",IF('希望休'!O10="休","希休",IF('希望休'!O10&lt;&gt;"可","未確認",IF(COUNTIFS('割当計算'!$A$8:$A$131,O$5,'割当計算'!$F$8:$F$131,4,'割当計算'!$C$8:$C$131,"早")&gt;0,"早",IF(COUNTIFS('割当計算'!$A$8:$A$131,O$5,'割当計算'!$F$8:$F$131,4,'割当計算'!$C$8:$C$131,"遅")&gt;0,"遅","休")))))</x:f>
        <x:v>休</x:v>
      </x:c>
      <x:c r="P10" s="16" t="str">
        <x:f>IF(P$5="","",IF('希望休'!P10="休","希休",IF('希望休'!P10&lt;&gt;"可","未確認",IF(COUNTIFS('割当計算'!$A$8:$A$131,P$5,'割当計算'!$F$8:$F$131,4,'割当計算'!$C$8:$C$131,"早")&gt;0,"早",IF(COUNTIFS('割当計算'!$A$8:$A$131,P$5,'割当計算'!$F$8:$F$131,4,'割当計算'!$C$8:$C$131,"遅")&gt;0,"遅","休")))))</x:f>
        <x:v>早</x:v>
      </x:c>
      <x:c r="Q10" s="16" t="str">
        <x:f>IF(Q$5="","",IF('希望休'!Q10="休","希休",IF('希望休'!Q10&lt;&gt;"可","未確認",IF(COUNTIFS('割当計算'!$A$8:$A$131,Q$5,'割当計算'!$F$8:$F$131,4,'割当計算'!$C$8:$C$131,"早")&gt;0,"早",IF(COUNTIFS('割当計算'!$A$8:$A$131,Q$5,'割当計算'!$F$8:$F$131,4,'割当計算'!$C$8:$C$131,"遅")&gt;0,"遅","休")))))</x:f>
        <x:v>希休</x:v>
      </x:c>
      <x:c r="R10" s="16" t="str">
        <x:f>IF(R$5="","",IF('希望休'!R10="休","希休",IF('希望休'!R10&lt;&gt;"可","未確認",IF(COUNTIFS('割当計算'!$A$8:$A$131,R$5,'割当計算'!$F$8:$F$131,4,'割当計算'!$C$8:$C$131,"早")&gt;0,"早",IF(COUNTIFS('割当計算'!$A$8:$A$131,R$5,'割当計算'!$F$8:$F$131,4,'割当計算'!$C$8:$C$131,"遅")&gt;0,"遅","休")))))</x:f>
        <x:v>早</x:v>
      </x:c>
      <x:c r="S10" s="16" t="str">
        <x:f>IF(S$5="","",IF('希望休'!S10="休","希休",IF('希望休'!S10&lt;&gt;"可","未確認",IF(COUNTIFS('割当計算'!$A$8:$A$131,S$5,'割当計算'!$F$8:$F$131,4,'割当計算'!$C$8:$C$131,"早")&gt;0,"早",IF(COUNTIFS('割当計算'!$A$8:$A$131,S$5,'割当計算'!$F$8:$F$131,4,'割当計算'!$C$8:$C$131,"遅")&gt;0,"遅","休")))))</x:f>
        <x:v>遅</x:v>
      </x:c>
      <x:c r="T10" s="16" t="str">
        <x:f>IF(T$5="","",IF('希望休'!T10="休","希休",IF('希望休'!T10&lt;&gt;"可","未確認",IF(COUNTIFS('割当計算'!$A$8:$A$131,T$5,'割当計算'!$F$8:$F$131,4,'割当計算'!$C$8:$C$131,"早")&gt;0,"早",IF(COUNTIFS('割当計算'!$A$8:$A$131,T$5,'割当計算'!$F$8:$F$131,4,'割当計算'!$C$8:$C$131,"遅")&gt;0,"遅","休")))))</x:f>
        <x:v>休</x:v>
      </x:c>
      <x:c r="U10" s="16" t="str">
        <x:f>IF(U$5="","",IF('希望休'!U10="休","希休",IF('希望休'!U10&lt;&gt;"可","未確認",IF(COUNTIFS('割当計算'!$A$8:$A$131,U$5,'割当計算'!$F$8:$F$131,4,'割当計算'!$C$8:$C$131,"早")&gt;0,"早",IF(COUNTIFS('割当計算'!$A$8:$A$131,U$5,'割当計算'!$F$8:$F$131,4,'割当計算'!$C$8:$C$131,"遅")&gt;0,"遅","休")))))</x:f>
        <x:v>早</x:v>
      </x:c>
      <x:c r="V10" s="16" t="str">
        <x:f>IF(V$5="","",IF('希望休'!V10="休","希休",IF('希望休'!V10&lt;&gt;"可","未確認",IF(COUNTIFS('割当計算'!$A$8:$A$131,V$5,'割当計算'!$F$8:$F$131,4,'割当計算'!$C$8:$C$131,"早")&gt;0,"早",IF(COUNTIFS('割当計算'!$A$8:$A$131,V$5,'割当計算'!$F$8:$F$131,4,'割当計算'!$C$8:$C$131,"遅")&gt;0,"遅","休")))))</x:f>
        <x:v>早</x:v>
      </x:c>
      <x:c r="W10" s="16" t="str">
        <x:f>IF(W$5="","",IF('希望休'!W10="休","希休",IF('希望休'!W10&lt;&gt;"可","未確認",IF(COUNTIFS('割当計算'!$A$8:$A$131,W$5,'割当計算'!$F$8:$F$131,4,'割当計算'!$C$8:$C$131,"早")&gt;0,"早",IF(COUNTIFS('割当計算'!$A$8:$A$131,W$5,'割当計算'!$F$8:$F$131,4,'割当計算'!$C$8:$C$131,"遅")&gt;0,"遅","休")))))</x:f>
        <x:v>早</x:v>
      </x:c>
      <x:c r="X10" s="16" t="str">
        <x:f>IF(X$5="","",IF('希望休'!X10="休","希休",IF('希望休'!X10&lt;&gt;"可","未確認",IF(COUNTIFS('割当計算'!$A$8:$A$131,X$5,'割当計算'!$F$8:$F$131,4,'割当計算'!$C$8:$C$131,"早")&gt;0,"早",IF(COUNTIFS('割当計算'!$A$8:$A$131,X$5,'割当計算'!$F$8:$F$131,4,'割当計算'!$C$8:$C$131,"遅")&gt;0,"遅","休")))))</x:f>
        <x:v>遅</x:v>
      </x:c>
      <x:c r="Y10" s="16" t="str">
        <x:f>IF(Y$5="","",IF('希望休'!Y10="休","希休",IF('希望休'!Y10&lt;&gt;"可","未確認",IF(COUNTIFS('割当計算'!$A$8:$A$131,Y$5,'割当計算'!$F$8:$F$131,4,'割当計算'!$C$8:$C$131,"早")&gt;0,"早",IF(COUNTIFS('割当計算'!$A$8:$A$131,Y$5,'割当計算'!$F$8:$F$131,4,'割当計算'!$C$8:$C$131,"遅")&gt;0,"遅","休")))))</x:f>
        <x:v>休</x:v>
      </x:c>
      <x:c r="Z10" s="16" t="str">
        <x:f>IF(Z$5="","",IF('希望休'!Z10="休","希休",IF('希望休'!Z10&lt;&gt;"可","未確認",IF(COUNTIFS('割当計算'!$A$8:$A$131,Z$5,'割当計算'!$F$8:$F$131,4,'割当計算'!$C$8:$C$131,"早")&gt;0,"早",IF(COUNTIFS('割当計算'!$A$8:$A$131,Z$5,'割当計算'!$F$8:$F$131,4,'割当計算'!$C$8:$C$131,"遅")&gt;0,"遅","休")))))</x:f>
        <x:v>休</x:v>
      </x:c>
      <x:c r="AA10" s="16" t="str">
        <x:f>IF(AA$5="","",IF('希望休'!AA10="休","希休",IF('希望休'!AA10&lt;&gt;"可","未確認",IF(COUNTIFS('割当計算'!$A$8:$A$131,AA$5,'割当計算'!$F$8:$F$131,4,'割当計算'!$C$8:$C$131,"早")&gt;0,"早",IF(COUNTIFS('割当計算'!$A$8:$A$131,AA$5,'割当計算'!$F$8:$F$131,4,'割当計算'!$C$8:$C$131,"遅")&gt;0,"遅","休")))))</x:f>
        <x:v>早</x:v>
      </x:c>
      <x:c r="AB10" s="16" t="str">
        <x:f>IF(AB$5="","",IF('希望休'!AB10="休","希休",IF('希望休'!AB10&lt;&gt;"可","未確認",IF(COUNTIFS('割当計算'!$A$8:$A$131,AB$5,'割当計算'!$F$8:$F$131,4,'割当計算'!$C$8:$C$131,"早")&gt;0,"早",IF(COUNTIFS('割当計算'!$A$8:$A$131,AB$5,'割当計算'!$F$8:$F$131,4,'割当計算'!$C$8:$C$131,"遅")&gt;0,"遅","休")))))</x:f>
        <x:v>早</x:v>
      </x:c>
      <x:c r="AC10" s="16" t="str">
        <x:f>IF(AC$5="","",IF('希望休'!AC10="休","希休",IF('希望休'!AC10&lt;&gt;"可","未確認",IF(COUNTIFS('割当計算'!$A$8:$A$131,AC$5,'割当計算'!$F$8:$F$131,4,'割当計算'!$C$8:$C$131,"早")&gt;0,"早",IF(COUNTIFS('割当計算'!$A$8:$A$131,AC$5,'割当計算'!$F$8:$F$131,4,'割当計算'!$C$8:$C$131,"遅")&gt;0,"遅","休")))))</x:f>
        <x:v>早</x:v>
      </x:c>
      <x:c r="AD10" s="16" t="str">
        <x:f>IF(AD$5="","",IF('希望休'!AD10="休","希休",IF('希望休'!AD10&lt;&gt;"可","未確認",IF(COUNTIFS('割当計算'!$A$8:$A$131,AD$5,'割当計算'!$F$8:$F$131,4,'割当計算'!$C$8:$C$131,"早")&gt;0,"早",IF(COUNTIFS('割当計算'!$A$8:$A$131,AD$5,'割当計算'!$F$8:$F$131,4,'割当計算'!$C$8:$C$131,"遅")&gt;0,"遅","休")))))</x:f>
        <x:v>遅</x:v>
      </x:c>
      <x:c r="AE10" s="16" t="str">
        <x:f>IF(AE$5="","",IF('希望休'!AE10="休","希休",IF('希望休'!AE10&lt;&gt;"可","未確認",IF(COUNTIFS('割当計算'!$A$8:$A$131,AE$5,'割当計算'!$F$8:$F$131,4,'割当計算'!$C$8:$C$131,"早")&gt;0,"早",IF(COUNTIFS('割当計算'!$A$8:$A$131,AE$5,'割当計算'!$F$8:$F$131,4,'割当計算'!$C$8:$C$131,"遅")&gt;0,"遅","休")))))</x:f>
        <x:v>休</x:v>
      </x:c>
      <x:c r="AF10" s="16" t="str">
        <x:f>IF(AF$5="","",IF('希望休'!AF10="休","希休",IF('希望休'!AF10&lt;&gt;"可","未確認",IF(COUNTIFS('割当計算'!$A$8:$A$131,AF$5,'割当計算'!$F$8:$F$131,4,'割当計算'!$C$8:$C$131,"早")&gt;0,"早",IF(COUNTIFS('割当計算'!$A$8:$A$131,AF$5,'割当計算'!$F$8:$F$131,4,'割当計算'!$C$8:$C$131,"遅")&gt;0,"遅","休")))))</x:f>
      </x:c>
      <x:c r="AG10" s="2" t="n">
        <x:f>COUNTIF(B10:AF10,"早")+COUNTIF(B10:AF10,"遅")</x:f>
        <x:v>20</x:v>
      </x:c>
      <x:c r="AH10" s="2" t="n">
        <x:f>MAX('割当計算'!P8:P131)</x:f>
        <x:v>4</x:v>
      </x:c>
      <x:c r="AI10" s="2"/>
      <x:c r="AJ10" s="2"/>
    </x:row>
    <x:row r="11" ht="24" customHeight="1">
      <x:c r="A11" s="2" t="str">
        <x:f>'設定'!B11</x:f>
        <x:v>スタッフE</x:v>
      </x:c>
      <x:c r="B11" s="16" t="str">
        <x:f>IF(B$5="","",IF('希望休'!B11="休","希休",IF('希望休'!B11&lt;&gt;"可","未確認",IF(COUNTIFS('割当計算'!$A$8:$A$131,B$5,'割当計算'!$F$8:$F$131,5,'割当計算'!$C$8:$C$131,"早")&gt;0,"早",IF(COUNTIFS('割当計算'!$A$8:$A$131,B$5,'割当計算'!$F$8:$F$131,5,'割当計算'!$C$8:$C$131,"遅")&gt;0,"遅","休")))))</x:f>
        <x:v>休</x:v>
      </x:c>
      <x:c r="C11" s="16" t="str">
        <x:f>IF(C$5="","",IF('希望休'!C11="休","希休",IF('希望休'!C11&lt;&gt;"可","未確認",IF(COUNTIFS('割当計算'!$A$8:$A$131,C$5,'割当計算'!$F$8:$F$131,5,'割当計算'!$C$8:$C$131,"早")&gt;0,"早",IF(COUNTIFS('割当計算'!$A$8:$A$131,C$5,'割当計算'!$F$8:$F$131,5,'割当計算'!$C$8:$C$131,"遅")&gt;0,"遅","休")))))</x:f>
        <x:v>早</x:v>
      </x:c>
      <x:c r="D11" s="16" t="str">
        <x:f>IF(D$5="","",IF('希望休'!D11="休","希休",IF('希望休'!D11&lt;&gt;"可","未確認",IF(COUNTIFS('割当計算'!$A$8:$A$131,D$5,'割当計算'!$F$8:$F$131,5,'割当計算'!$C$8:$C$131,"早")&gt;0,"早",IF(COUNTIFS('割当計算'!$A$8:$A$131,D$5,'割当計算'!$F$8:$F$131,5,'割当計算'!$C$8:$C$131,"遅")&gt;0,"遅","休")))))</x:f>
        <x:v>早</x:v>
      </x:c>
      <x:c r="E11" s="16" t="str">
        <x:f>IF(E$5="","",IF('希望休'!E11="休","希休",IF('希望休'!E11&lt;&gt;"可","未確認",IF(COUNTIFS('割当計算'!$A$8:$A$131,E$5,'割当計算'!$F$8:$F$131,5,'割当計算'!$C$8:$C$131,"早")&gt;0,"早",IF(COUNTIFS('割当計算'!$A$8:$A$131,E$5,'割当計算'!$F$8:$F$131,5,'割当計算'!$C$8:$C$131,"遅")&gt;0,"遅","休")))))</x:f>
        <x:v>早</x:v>
      </x:c>
      <x:c r="F11" s="16" t="str">
        <x:f>IF(F$5="","",IF('希望休'!F11="休","希休",IF('希望休'!F11&lt;&gt;"可","未確認",IF(COUNTIFS('割当計算'!$A$8:$A$131,F$5,'割当計算'!$F$8:$F$131,5,'割当計算'!$C$8:$C$131,"早")&gt;0,"早",IF(COUNTIFS('割当計算'!$A$8:$A$131,F$5,'割当計算'!$F$8:$F$131,5,'割当計算'!$C$8:$C$131,"遅")&gt;0,"遅","休")))))</x:f>
        <x:v>希休</x:v>
      </x:c>
      <x:c r="G11" s="16" t="str">
        <x:f>IF(G$5="","",IF('希望休'!G11="休","希休",IF('希望休'!G11&lt;&gt;"可","未確認",IF(COUNTIFS('割当計算'!$A$8:$A$131,G$5,'割当計算'!$F$8:$F$131,5,'割当計算'!$C$8:$C$131,"早")&gt;0,"早",IF(COUNTIFS('割当計算'!$A$8:$A$131,G$5,'割当計算'!$F$8:$F$131,5,'割当計算'!$C$8:$C$131,"遅")&gt;0,"遅","休")))))</x:f>
        <x:v>遅</x:v>
      </x:c>
      <x:c r="H11" s="16" t="str">
        <x:f>IF(H$5="","",IF('希望休'!H11="休","希休",IF('希望休'!H11&lt;&gt;"可","未確認",IF(COUNTIFS('割当計算'!$A$8:$A$131,H$5,'割当計算'!$F$8:$F$131,5,'割当計算'!$C$8:$C$131,"早")&gt;0,"早",IF(COUNTIFS('割当計算'!$A$8:$A$131,H$5,'割当計算'!$F$8:$F$131,5,'割当計算'!$C$8:$C$131,"遅")&gt;0,"遅","休")))))</x:f>
        <x:v>休</x:v>
      </x:c>
      <x:c r="I11" s="16" t="str">
        <x:f>IF(I$5="","",IF('希望休'!I11="休","希休",IF('希望休'!I11&lt;&gt;"可","未確認",IF(COUNTIFS('割当計算'!$A$8:$A$131,I$5,'割当計算'!$F$8:$F$131,5,'割当計算'!$C$8:$C$131,"早")&gt;0,"早",IF(COUNTIFS('割当計算'!$A$8:$A$131,I$5,'割当計算'!$F$8:$F$131,5,'割当計算'!$C$8:$C$131,"遅")&gt;0,"遅","休")))))</x:f>
        <x:v>早</x:v>
      </x:c>
      <x:c r="J11" s="16" t="str">
        <x:f>IF(J$5="","",IF('希望休'!J11="休","希休",IF('希望休'!J11&lt;&gt;"可","未確認",IF(COUNTIFS('割当計算'!$A$8:$A$131,J$5,'割当計算'!$F$8:$F$131,5,'割当計算'!$C$8:$C$131,"早")&gt;0,"早",IF(COUNTIFS('割当計算'!$A$8:$A$131,J$5,'割当計算'!$F$8:$F$131,5,'割当計算'!$C$8:$C$131,"遅")&gt;0,"遅","休")))))</x:f>
        <x:v>早</x:v>
      </x:c>
      <x:c r="K11" s="16" t="str">
        <x:f>IF(K$5="","",IF('希望休'!K11="休","希休",IF('希望休'!K11&lt;&gt;"可","未確認",IF(COUNTIFS('割当計算'!$A$8:$A$131,K$5,'割当計算'!$F$8:$F$131,5,'割当計算'!$C$8:$C$131,"早")&gt;0,"早",IF(COUNTIFS('割当計算'!$A$8:$A$131,K$5,'割当計算'!$F$8:$F$131,5,'割当計算'!$C$8:$C$131,"遅")&gt;0,"遅","休")))))</x:f>
        <x:v>遅</x:v>
      </x:c>
      <x:c r="L11" s="16" t="str">
        <x:f>IF(L$5="","",IF('希望休'!L11="休","希休",IF('希望休'!L11&lt;&gt;"可","未確認",IF(COUNTIFS('割当計算'!$A$8:$A$131,L$5,'割当計算'!$F$8:$F$131,5,'割当計算'!$C$8:$C$131,"早")&gt;0,"早",IF(COUNTIFS('割当計算'!$A$8:$A$131,L$5,'割当計算'!$F$8:$F$131,5,'割当計算'!$C$8:$C$131,"遅")&gt;0,"遅","休")))))</x:f>
        <x:v>休</x:v>
      </x:c>
      <x:c r="M11" s="16" t="str">
        <x:f>IF(M$5="","",IF('希望休'!M11="休","希休",IF('希望休'!M11&lt;&gt;"可","未確認",IF(COUNTIFS('割当計算'!$A$8:$A$131,M$5,'割当計算'!$F$8:$F$131,5,'割当計算'!$C$8:$C$131,"早")&gt;0,"早",IF(COUNTIFS('割当計算'!$A$8:$A$131,M$5,'割当計算'!$F$8:$F$131,5,'割当計算'!$C$8:$C$131,"遅")&gt;0,"遅","休")))))</x:f>
        <x:v>遅</x:v>
      </x:c>
      <x:c r="N11" s="16" t="str">
        <x:f>IF(N$5="","",IF('希望休'!N11="休","希休",IF('希望休'!N11&lt;&gt;"可","未確認",IF(COUNTIFS('割当計算'!$A$8:$A$131,N$5,'割当計算'!$F$8:$F$131,5,'割当計算'!$C$8:$C$131,"早")&gt;0,"早",IF(COUNTIFS('割当計算'!$A$8:$A$131,N$5,'割当計算'!$F$8:$F$131,5,'割当計算'!$C$8:$C$131,"遅")&gt;0,"遅","休")))))</x:f>
        <x:v>休</x:v>
      </x:c>
      <x:c r="O11" s="16" t="str">
        <x:f>IF(O$5="","",IF('希望休'!O11="休","希休",IF('希望休'!O11&lt;&gt;"可","未確認",IF(COUNTIFS('割当計算'!$A$8:$A$131,O$5,'割当計算'!$F$8:$F$131,5,'割当計算'!$C$8:$C$131,"早")&gt;0,"早",IF(COUNTIFS('割当計算'!$A$8:$A$131,O$5,'割当計算'!$F$8:$F$131,5,'割当計算'!$C$8:$C$131,"遅")&gt;0,"遅","休")))))</x:f>
        <x:v>早</x:v>
      </x:c>
      <x:c r="P11" s="16" t="str">
        <x:f>IF(P$5="","",IF('希望休'!P11="休","希休",IF('希望休'!P11&lt;&gt;"可","未確認",IF(COUNTIFS('割当計算'!$A$8:$A$131,P$5,'割当計算'!$F$8:$F$131,5,'割当計算'!$C$8:$C$131,"早")&gt;0,"早",IF(COUNTIFS('割当計算'!$A$8:$A$131,P$5,'割当計算'!$F$8:$F$131,5,'割当計算'!$C$8:$C$131,"遅")&gt;0,"遅","休")))))</x:f>
        <x:v>早</x:v>
      </x:c>
      <x:c r="Q11" s="16" t="str">
        <x:f>IF(Q$5="","",IF('希望休'!Q11="休","希休",IF('希望休'!Q11&lt;&gt;"可","未確認",IF(COUNTIFS('割当計算'!$A$8:$A$131,Q$5,'割当計算'!$F$8:$F$131,5,'割当計算'!$C$8:$C$131,"早")&gt;0,"早",IF(COUNTIFS('割当計算'!$A$8:$A$131,Q$5,'割当計算'!$F$8:$F$131,5,'割当計算'!$C$8:$C$131,"遅")&gt;0,"遅","休")))))</x:f>
        <x:v>早</x:v>
      </x:c>
      <x:c r="R11" s="16" t="str">
        <x:f>IF(R$5="","",IF('希望休'!R11="休","希休",IF('希望休'!R11&lt;&gt;"可","未確認",IF(COUNTIFS('割当計算'!$A$8:$A$131,R$5,'割当計算'!$F$8:$F$131,5,'割当計算'!$C$8:$C$131,"早")&gt;0,"早",IF(COUNTIFS('割当計算'!$A$8:$A$131,R$5,'割当計算'!$F$8:$F$131,5,'割当計算'!$C$8:$C$131,"遅")&gt;0,"遅","休")))))</x:f>
        <x:v>希休</x:v>
      </x:c>
      <x:c r="S11" s="16" t="str">
        <x:f>IF(S$5="","",IF('希望休'!S11="休","希休",IF('希望休'!S11&lt;&gt;"可","未確認",IF(COUNTIFS('割当計算'!$A$8:$A$131,S$5,'割当計算'!$F$8:$F$131,5,'割当計算'!$C$8:$C$131,"早")&gt;0,"早",IF(COUNTIFS('割当計算'!$A$8:$A$131,S$5,'割当計算'!$F$8:$F$131,5,'割当計算'!$C$8:$C$131,"遅")&gt;0,"遅","休")))))</x:f>
        <x:v>遅</x:v>
      </x:c>
      <x:c r="T11" s="16" t="str">
        <x:f>IF(T$5="","",IF('希望休'!T11="休","希休",IF('希望休'!T11&lt;&gt;"可","未確認",IF(COUNTIFS('割当計算'!$A$8:$A$131,T$5,'割当計算'!$F$8:$F$131,5,'割当計算'!$C$8:$C$131,"早")&gt;0,"早",IF(COUNTIFS('割当計算'!$A$8:$A$131,T$5,'割当計算'!$F$8:$F$131,5,'割当計算'!$C$8:$C$131,"遅")&gt;0,"遅","休")))))</x:f>
        <x:v>休</x:v>
      </x:c>
      <x:c r="U11" s="16" t="str">
        <x:f>IF(U$5="","",IF('希望休'!U11="休","希休",IF('希望休'!U11&lt;&gt;"可","未確認",IF(COUNTIFS('割当計算'!$A$8:$A$131,U$5,'割当計算'!$F$8:$F$131,5,'割当計算'!$C$8:$C$131,"早")&gt;0,"早",IF(COUNTIFS('割当計算'!$A$8:$A$131,U$5,'割当計算'!$F$8:$F$131,5,'割当計算'!$C$8:$C$131,"遅")&gt;0,"遅","休")))))</x:f>
        <x:v>早</x:v>
      </x:c>
      <x:c r="V11" s="16" t="str">
        <x:f>IF(V$5="","",IF('希望休'!V11="休","希休",IF('希望休'!V11&lt;&gt;"可","未確認",IF(COUNTIFS('割当計算'!$A$8:$A$131,V$5,'割当計算'!$F$8:$F$131,5,'割当計算'!$C$8:$C$131,"早")&gt;0,"早",IF(COUNTIFS('割当計算'!$A$8:$A$131,V$5,'割当計算'!$F$8:$F$131,5,'割当計算'!$C$8:$C$131,"遅")&gt;0,"遅","休")))))</x:f>
        <x:v>早</x:v>
      </x:c>
      <x:c r="W11" s="16" t="str">
        <x:f>IF(W$5="","",IF('希望休'!W11="休","希休",IF('希望休'!W11&lt;&gt;"可","未確認",IF(COUNTIFS('割当計算'!$A$8:$A$131,W$5,'割当計算'!$F$8:$F$131,5,'割当計算'!$C$8:$C$131,"早")&gt;0,"早",IF(COUNTIFS('割当計算'!$A$8:$A$131,W$5,'割当計算'!$F$8:$F$131,5,'割当計算'!$C$8:$C$131,"遅")&gt;0,"遅","休")))))</x:f>
        <x:v>遅</x:v>
      </x:c>
      <x:c r="X11" s="16" t="str">
        <x:f>IF(X$5="","",IF('希望休'!X11="休","希休",IF('希望休'!X11&lt;&gt;"可","未確認",IF(COUNTIFS('割当計算'!$A$8:$A$131,X$5,'割当計算'!$F$8:$F$131,5,'割当計算'!$C$8:$C$131,"早")&gt;0,"早",IF(COUNTIFS('割当計算'!$A$8:$A$131,X$5,'割当計算'!$F$8:$F$131,5,'割当計算'!$C$8:$C$131,"遅")&gt;0,"遅","休")))))</x:f>
        <x:v>休</x:v>
      </x:c>
      <x:c r="Y11" s="16" t="str">
        <x:f>IF(Y$5="","",IF('希望休'!Y11="休","希休",IF('希望休'!Y11&lt;&gt;"可","未確認",IF(COUNTIFS('割当計算'!$A$8:$A$131,Y$5,'割当計算'!$F$8:$F$131,5,'割当計算'!$C$8:$C$131,"早")&gt;0,"早",IF(COUNTIFS('割当計算'!$A$8:$A$131,Y$5,'割当計算'!$F$8:$F$131,5,'割当計算'!$C$8:$C$131,"遅")&gt;0,"遅","休")))))</x:f>
        <x:v>遅</x:v>
      </x:c>
      <x:c r="Z11" s="16" t="str">
        <x:f>IF(Z$5="","",IF('希望休'!Z11="休","希休",IF('希望休'!Z11&lt;&gt;"可","未確認",IF(COUNTIFS('割当計算'!$A$8:$A$131,Z$5,'割当計算'!$F$8:$F$131,5,'割当計算'!$C$8:$C$131,"早")&gt;0,"早",IF(COUNTIFS('割当計算'!$A$8:$A$131,Z$5,'割当計算'!$F$8:$F$131,5,'割当計算'!$C$8:$C$131,"遅")&gt;0,"遅","休")))))</x:f>
        <x:v>休</x:v>
      </x:c>
      <x:c r="AA11" s="16" t="str">
        <x:f>IF(AA$5="","",IF('希望休'!AA11="休","希休",IF('希望休'!AA11&lt;&gt;"可","未確認",IF(COUNTIFS('割当計算'!$A$8:$A$131,AA$5,'割当計算'!$F$8:$F$131,5,'割当計算'!$C$8:$C$131,"早")&gt;0,"早",IF(COUNTIFS('割当計算'!$A$8:$A$131,AA$5,'割当計算'!$F$8:$F$131,5,'割当計算'!$C$8:$C$131,"遅")&gt;0,"遅","休")))))</x:f>
        <x:v>早</x:v>
      </x:c>
      <x:c r="AB11" s="16" t="str">
        <x:f>IF(AB$5="","",IF('希望休'!AB11="休","希休",IF('希望休'!AB11&lt;&gt;"可","未確認",IF(COUNTIFS('割当計算'!$A$8:$A$131,AB$5,'割当計算'!$F$8:$F$131,5,'割当計算'!$C$8:$C$131,"早")&gt;0,"早",IF(COUNTIFS('割当計算'!$A$8:$A$131,AB$5,'割当計算'!$F$8:$F$131,5,'割当計算'!$C$8:$C$131,"遅")&gt;0,"遅","休")))))</x:f>
        <x:v>早</x:v>
      </x:c>
      <x:c r="AC11" s="16" t="str">
        <x:f>IF(AC$5="","",IF('希望休'!AC11="休","希休",IF('希望休'!AC11&lt;&gt;"可","未確認",IF(COUNTIFS('割当計算'!$A$8:$A$131,AC$5,'割当計算'!$F$8:$F$131,5,'割当計算'!$C$8:$C$131,"早")&gt;0,"早",IF(COUNTIFS('割当計算'!$A$8:$A$131,AC$5,'割当計算'!$F$8:$F$131,5,'割当計算'!$C$8:$C$131,"遅")&gt;0,"遅","休")))))</x:f>
        <x:v>遅</x:v>
      </x:c>
      <x:c r="AD11" s="16" t="str">
        <x:f>IF(AD$5="","",IF('希望休'!AD11="休","希休",IF('希望休'!AD11&lt;&gt;"可","未確認",IF(COUNTIFS('割当計算'!$A$8:$A$131,AD$5,'割当計算'!$F$8:$F$131,5,'割当計算'!$C$8:$C$131,"早")&gt;0,"早",IF(COUNTIFS('割当計算'!$A$8:$A$131,AD$5,'割当計算'!$F$8:$F$131,5,'割当計算'!$C$8:$C$131,"遅")&gt;0,"遅","休")))))</x:f>
        <x:v>休</x:v>
      </x:c>
      <x:c r="AE11" s="16" t="str">
        <x:f>IF(AE$5="","",IF('希望休'!AE11="休","希休",IF('希望休'!AE11&lt;&gt;"可","未確認",IF(COUNTIFS('割当計算'!$A$8:$A$131,AE$5,'割当計算'!$F$8:$F$131,5,'割当計算'!$C$8:$C$131,"早")&gt;0,"早",IF(COUNTIFS('割当計算'!$A$8:$A$131,AE$5,'割当計算'!$F$8:$F$131,5,'割当計算'!$C$8:$C$131,"遅")&gt;0,"遅","休")))))</x:f>
        <x:v>遅</x:v>
      </x:c>
      <x:c r="AF11" s="16" t="str">
        <x:f>IF(AF$5="","",IF('希望休'!AF11="休","希休",IF('希望休'!AF11&lt;&gt;"可","未確認",IF(COUNTIFS('割当計算'!$A$8:$A$131,AF$5,'割当計算'!$F$8:$F$131,5,'割当計算'!$C$8:$C$131,"早")&gt;0,"早",IF(COUNTIFS('割当計算'!$A$8:$A$131,AF$5,'割当計算'!$F$8:$F$131,5,'割当計算'!$C$8:$C$131,"遅")&gt;0,"遅","休")))))</x:f>
      </x:c>
      <x:c r="AG11" s="2" t="n">
        <x:f>COUNTIF(B11:AF11,"早")+COUNTIF(B11:AF11,"遅")</x:f>
        <x:v>20</x:v>
      </x:c>
      <x:c r="AH11" s="2" t="n">
        <x:f>MAX('割当計算'!Q8:Q131)</x:f>
        <x:v>3</x:v>
      </x:c>
      <x:c r="AI11" s="2"/>
      <x:c r="AJ11" s="2"/>
    </x:row>
    <x:row r="12" ht="24" customHeight="1">
      <x:c r="A12" s="2" t="str">
        <x:f>'設定'!B12</x:f>
        <x:v>スタッフF</x:v>
      </x:c>
      <x:c r="B12" s="16" t="str">
        <x:f>IF(B$5="","",IF('希望休'!B12="休","希休",IF('希望休'!B12&lt;&gt;"可","未確認",IF(COUNTIFS('割当計算'!$A$8:$A$131,B$5,'割当計算'!$F$8:$F$131,6,'割当計算'!$C$8:$C$131,"早")&gt;0,"早",IF(COUNTIFS('割当計算'!$A$8:$A$131,B$5,'割当計算'!$F$8:$F$131,6,'割当計算'!$C$8:$C$131,"遅")&gt;0,"遅","休")))))</x:f>
        <x:v>早</x:v>
      </x:c>
      <x:c r="C12" s="16" t="str">
        <x:f>IF(C$5="","",IF('希望休'!C12="休","希休",IF('希望休'!C12&lt;&gt;"可","未確認",IF(COUNTIFS('割当計算'!$A$8:$A$131,C$5,'割当計算'!$F$8:$F$131,6,'割当計算'!$C$8:$C$131,"早")&gt;0,"早",IF(COUNTIFS('割当計算'!$A$8:$A$131,C$5,'割当計算'!$F$8:$F$131,6,'割当計算'!$C$8:$C$131,"遅")&gt;0,"遅","休")))))</x:f>
        <x:v>遅</x:v>
      </x:c>
      <x:c r="D12" s="16" t="str">
        <x:f>IF(D$5="","",IF('希望休'!D12="休","希休",IF('希望休'!D12&lt;&gt;"可","未確認",IF(COUNTIFS('割当計算'!$A$8:$A$131,D$5,'割当計算'!$F$8:$F$131,6,'割当計算'!$C$8:$C$131,"早")&gt;0,"早",IF(COUNTIFS('割当計算'!$A$8:$A$131,D$5,'割当計算'!$F$8:$F$131,6,'割当計算'!$C$8:$C$131,"遅")&gt;0,"遅","休")))))</x:f>
        <x:v>休</x:v>
      </x:c>
      <x:c r="E12" s="16" t="str">
        <x:f>IF(E$5="","",IF('希望休'!E12="休","希休",IF('希望休'!E12&lt;&gt;"可","未確認",IF(COUNTIFS('割当計算'!$A$8:$A$131,E$5,'割当計算'!$F$8:$F$131,6,'割当計算'!$C$8:$C$131,"早")&gt;0,"早",IF(COUNTIFS('割当計算'!$A$8:$A$131,E$5,'割当計算'!$F$8:$F$131,6,'割当計算'!$C$8:$C$131,"遅")&gt;0,"遅","休")))))</x:f>
        <x:v>遅</x:v>
      </x:c>
      <x:c r="F12" s="16" t="str">
        <x:f>IF(F$5="","",IF('希望休'!F12="休","希休",IF('希望休'!F12&lt;&gt;"可","未確認",IF(COUNTIFS('割当計算'!$A$8:$A$131,F$5,'割当計算'!$F$8:$F$131,6,'割当計算'!$C$8:$C$131,"早")&gt;0,"早",IF(COUNTIFS('割当計算'!$A$8:$A$131,F$5,'割当計算'!$F$8:$F$131,6,'割当計算'!$C$8:$C$131,"遅")&gt;0,"遅","休")))))</x:f>
        <x:v>遅</x:v>
      </x:c>
      <x:c r="G12" s="16" t="str">
        <x:f>IF(G$5="","",IF('希望休'!G12="休","希休",IF('希望休'!G12&lt;&gt;"可","未確認",IF(COUNTIFS('割当計算'!$A$8:$A$131,G$5,'割当計算'!$F$8:$F$131,6,'割当計算'!$C$8:$C$131,"早")&gt;0,"早",IF(COUNTIFS('割当計算'!$A$8:$A$131,G$5,'割当計算'!$F$8:$F$131,6,'割当計算'!$C$8:$C$131,"遅")&gt;0,"遅","休")))))</x:f>
        <x:v>希休</x:v>
      </x:c>
      <x:c r="H12" s="16" t="str">
        <x:f>IF(H$5="","",IF('希望休'!H12="休","希休",IF('希望休'!H12&lt;&gt;"可","未確認",IF(COUNTIFS('割当計算'!$A$8:$A$131,H$5,'割当計算'!$F$8:$F$131,6,'割当計算'!$C$8:$C$131,"早")&gt;0,"早",IF(COUNTIFS('割当計算'!$A$8:$A$131,H$5,'割当計算'!$F$8:$F$131,6,'割当計算'!$C$8:$C$131,"遅")&gt;0,"遅","休")))))</x:f>
        <x:v>早</x:v>
      </x:c>
      <x:c r="I12" s="16" t="str">
        <x:f>IF(I$5="","",IF('希望休'!I12="休","希休",IF('希望休'!I12&lt;&gt;"可","未確認",IF(COUNTIFS('割当計算'!$A$8:$A$131,I$5,'割当計算'!$F$8:$F$131,6,'割当計算'!$C$8:$C$131,"早")&gt;0,"早",IF(COUNTIFS('割当計算'!$A$8:$A$131,I$5,'割当計算'!$F$8:$F$131,6,'割当計算'!$C$8:$C$131,"遅")&gt;0,"遅","休")))))</x:f>
        <x:v>遅</x:v>
      </x:c>
      <x:c r="J12" s="16" t="str">
        <x:f>IF(J$5="","",IF('希望休'!J12="休","希休",IF('希望休'!J12&lt;&gt;"可","未確認",IF(COUNTIFS('割当計算'!$A$8:$A$131,J$5,'割当計算'!$F$8:$F$131,6,'割当計算'!$C$8:$C$131,"早")&gt;0,"早",IF(COUNTIFS('割当計算'!$A$8:$A$131,J$5,'割当計算'!$F$8:$F$131,6,'割当計算'!$C$8:$C$131,"遅")&gt;0,"遅","休")))))</x:f>
        <x:v>休</x:v>
      </x:c>
      <x:c r="K12" s="16" t="str">
        <x:f>IF(K$5="","",IF('希望休'!K12="休","希休",IF('希望休'!K12&lt;&gt;"可","未確認",IF(COUNTIFS('割当計算'!$A$8:$A$131,K$5,'割当計算'!$F$8:$F$131,6,'割当計算'!$C$8:$C$131,"早")&gt;0,"早",IF(COUNTIFS('割当計算'!$A$8:$A$131,K$5,'割当計算'!$F$8:$F$131,6,'割当計算'!$C$8:$C$131,"遅")&gt;0,"遅","休")))))</x:f>
        <x:v>遅</x:v>
      </x:c>
      <x:c r="L12" s="16" t="str">
        <x:f>IF(L$5="","",IF('希望休'!L12="休","希休",IF('希望休'!L12&lt;&gt;"可","未確認",IF(COUNTIFS('割当計算'!$A$8:$A$131,L$5,'割当計算'!$F$8:$F$131,6,'割当計算'!$C$8:$C$131,"早")&gt;0,"早",IF(COUNTIFS('割当計算'!$A$8:$A$131,L$5,'割当計算'!$F$8:$F$131,6,'割当計算'!$C$8:$C$131,"遅")&gt;0,"遅","休")))))</x:f>
        <x:v>休</x:v>
      </x:c>
      <x:c r="M12" s="16" t="str">
        <x:f>IF(M$5="","",IF('希望休'!M12="休","希休",IF('希望休'!M12&lt;&gt;"可","未確認",IF(COUNTIFS('割当計算'!$A$8:$A$131,M$5,'割当計算'!$F$8:$F$131,6,'割当計算'!$C$8:$C$131,"早")&gt;0,"早",IF(COUNTIFS('割当計算'!$A$8:$A$131,M$5,'割当計算'!$F$8:$F$131,6,'割当計算'!$C$8:$C$131,"遅")&gt;0,"遅","休")))))</x:f>
        <x:v>遅</x:v>
      </x:c>
      <x:c r="N12" s="16" t="str">
        <x:f>IF(N$5="","",IF('希望休'!N12="休","希休",IF('希望休'!N12&lt;&gt;"可","未確認",IF(COUNTIFS('割当計算'!$A$8:$A$131,N$5,'割当計算'!$F$8:$F$131,6,'割当計算'!$C$8:$C$131,"早")&gt;0,"早",IF(COUNTIFS('割当計算'!$A$8:$A$131,N$5,'割当計算'!$F$8:$F$131,6,'割当計算'!$C$8:$C$131,"遅")&gt;0,"遅","休")))))</x:f>
        <x:v>早</x:v>
      </x:c>
      <x:c r="O12" s="16" t="str">
        <x:f>IF(O$5="","",IF('希望休'!O12="休","希休",IF('希望休'!O12&lt;&gt;"可","未確認",IF(COUNTIFS('割当計算'!$A$8:$A$131,O$5,'割当計算'!$F$8:$F$131,6,'割当計算'!$C$8:$C$131,"早")&gt;0,"早",IF(COUNTIFS('割当計算'!$A$8:$A$131,O$5,'割当計算'!$F$8:$F$131,6,'割当計算'!$C$8:$C$131,"遅")&gt;0,"遅","休")))))</x:f>
        <x:v>遅</x:v>
      </x:c>
      <x:c r="P12" s="16" t="str">
        <x:f>IF(P$5="","",IF('希望休'!P12="休","希休",IF('希望休'!P12&lt;&gt;"可","未確認",IF(COUNTIFS('割当計算'!$A$8:$A$131,P$5,'割当計算'!$F$8:$F$131,6,'割当計算'!$C$8:$C$131,"早")&gt;0,"早",IF(COUNTIFS('割当計算'!$A$8:$A$131,P$5,'割当計算'!$F$8:$F$131,6,'割当計算'!$C$8:$C$131,"遅")&gt;0,"遅","休")))))</x:f>
        <x:v>休</x:v>
      </x:c>
      <x:c r="Q12" s="16" t="str">
        <x:f>IF(Q$5="","",IF('希望休'!Q12="休","希休",IF('希望休'!Q12&lt;&gt;"可","未確認",IF(COUNTIFS('割当計算'!$A$8:$A$131,Q$5,'割当計算'!$F$8:$F$131,6,'割当計算'!$C$8:$C$131,"早")&gt;0,"早",IF(COUNTIFS('割当計算'!$A$8:$A$131,Q$5,'割当計算'!$F$8:$F$131,6,'割当計算'!$C$8:$C$131,"遅")&gt;0,"遅","休")))))</x:f>
        <x:v>遅</x:v>
      </x:c>
      <x:c r="R12" s="16" t="str">
        <x:f>IF(R$5="","",IF('希望休'!R12="休","希休",IF('希望休'!R12&lt;&gt;"可","未確認",IF(COUNTIFS('割当計算'!$A$8:$A$131,R$5,'割当計算'!$F$8:$F$131,6,'割当計算'!$C$8:$C$131,"早")&gt;0,"早",IF(COUNTIFS('割当計算'!$A$8:$A$131,R$5,'割当計算'!$F$8:$F$131,6,'割当計算'!$C$8:$C$131,"遅")&gt;0,"遅","休")))))</x:f>
        <x:v>遅</x:v>
      </x:c>
      <x:c r="S12" s="16" t="str">
        <x:f>IF(S$5="","",IF('希望休'!S12="休","希休",IF('希望休'!S12&lt;&gt;"可","未確認",IF(COUNTIFS('割当計算'!$A$8:$A$131,S$5,'割当計算'!$F$8:$F$131,6,'割当計算'!$C$8:$C$131,"早")&gt;0,"早",IF(COUNTIFS('割当計算'!$A$8:$A$131,S$5,'割当計算'!$F$8:$F$131,6,'割当計算'!$C$8:$C$131,"遅")&gt;0,"遅","休")))))</x:f>
        <x:v>希休</x:v>
      </x:c>
      <x:c r="T12" s="16" t="str">
        <x:f>IF(T$5="","",IF('希望休'!T12="休","希休",IF('希望休'!T12&lt;&gt;"可","未確認",IF(COUNTIFS('割当計算'!$A$8:$A$131,T$5,'割当計算'!$F$8:$F$131,6,'割当計算'!$C$8:$C$131,"早")&gt;0,"早",IF(COUNTIFS('割当計算'!$A$8:$A$131,T$5,'割当計算'!$F$8:$F$131,6,'割当計算'!$C$8:$C$131,"遅")&gt;0,"遅","休")))))</x:f>
        <x:v>早</x:v>
      </x:c>
      <x:c r="U12" s="16" t="str">
        <x:f>IF(U$5="","",IF('希望休'!U12="休","希休",IF('希望休'!U12&lt;&gt;"可","未確認",IF(COUNTIFS('割当計算'!$A$8:$A$131,U$5,'割当計算'!$F$8:$F$131,6,'割当計算'!$C$8:$C$131,"早")&gt;0,"早",IF(COUNTIFS('割当計算'!$A$8:$A$131,U$5,'割当計算'!$F$8:$F$131,6,'割当計算'!$C$8:$C$131,"遅")&gt;0,"遅","休")))))</x:f>
        <x:v>遅</x:v>
      </x:c>
      <x:c r="V12" s="16" t="str">
        <x:f>IF(V$5="","",IF('希望休'!V12="休","希休",IF('希望休'!V12&lt;&gt;"可","未確認",IF(COUNTIFS('割当計算'!$A$8:$A$131,V$5,'割当計算'!$F$8:$F$131,6,'割当計算'!$C$8:$C$131,"早")&gt;0,"早",IF(COUNTIFS('割当計算'!$A$8:$A$131,V$5,'割当計算'!$F$8:$F$131,6,'割当計算'!$C$8:$C$131,"遅")&gt;0,"遅","休")))))</x:f>
        <x:v>休</x:v>
      </x:c>
      <x:c r="W12" s="16" t="str">
        <x:f>IF(W$5="","",IF('希望休'!W12="休","希休",IF('希望休'!W12&lt;&gt;"可","未確認",IF(COUNTIFS('割当計算'!$A$8:$A$131,W$5,'割当計算'!$F$8:$F$131,6,'割当計算'!$C$8:$C$131,"早")&gt;0,"早",IF(COUNTIFS('割当計算'!$A$8:$A$131,W$5,'割当計算'!$F$8:$F$131,6,'割当計算'!$C$8:$C$131,"遅")&gt;0,"遅","休")))))</x:f>
        <x:v>遅</x:v>
      </x:c>
      <x:c r="X12" s="16" t="str">
        <x:f>IF(X$5="","",IF('希望休'!X12="休","希休",IF('希望休'!X12&lt;&gt;"可","未確認",IF(COUNTIFS('割当計算'!$A$8:$A$131,X$5,'割当計算'!$F$8:$F$131,6,'割当計算'!$C$8:$C$131,"早")&gt;0,"早",IF(COUNTIFS('割当計算'!$A$8:$A$131,X$5,'割当計算'!$F$8:$F$131,6,'割当計算'!$C$8:$C$131,"遅")&gt;0,"遅","休")))))</x:f>
        <x:v>休</x:v>
      </x:c>
      <x:c r="Y12" s="16" t="str">
        <x:f>IF(Y$5="","",IF('希望休'!Y12="休","希休",IF('希望休'!Y12&lt;&gt;"可","未確認",IF(COUNTIFS('割当計算'!$A$8:$A$131,Y$5,'割当計算'!$F$8:$F$131,6,'割当計算'!$C$8:$C$131,"早")&gt;0,"早",IF(COUNTIFS('割当計算'!$A$8:$A$131,Y$5,'割当計算'!$F$8:$F$131,6,'割当計算'!$C$8:$C$131,"遅")&gt;0,"遅","休")))))</x:f>
        <x:v>遅</x:v>
      </x:c>
      <x:c r="Z12" s="16" t="str">
        <x:f>IF(Z$5="","",IF('希望休'!Z12="休","希休",IF('希望休'!Z12&lt;&gt;"可","未確認",IF(COUNTIFS('割当計算'!$A$8:$A$131,Z$5,'割当計算'!$F$8:$F$131,6,'割当計算'!$C$8:$C$131,"早")&gt;0,"早",IF(COUNTIFS('割当計算'!$A$8:$A$131,Z$5,'割当計算'!$F$8:$F$131,6,'割当計算'!$C$8:$C$131,"遅")&gt;0,"遅","休")))))</x:f>
        <x:v>早</x:v>
      </x:c>
      <x:c r="AA12" s="16" t="str">
        <x:f>IF(AA$5="","",IF('希望休'!AA12="休","希休",IF('希望休'!AA12&lt;&gt;"可","未確認",IF(COUNTIFS('割当計算'!$A$8:$A$131,AA$5,'割当計算'!$F$8:$F$131,6,'割当計算'!$C$8:$C$131,"早")&gt;0,"早",IF(COUNTIFS('割当計算'!$A$8:$A$131,AA$5,'割当計算'!$F$8:$F$131,6,'割当計算'!$C$8:$C$131,"遅")&gt;0,"遅","休")))))</x:f>
        <x:v>遅</x:v>
      </x:c>
      <x:c r="AB12" s="16" t="str">
        <x:f>IF(AB$5="","",IF('希望休'!AB12="休","希休",IF('希望休'!AB12&lt;&gt;"可","未確認",IF(COUNTIFS('割当計算'!$A$8:$A$131,AB$5,'割当計算'!$F$8:$F$131,6,'割当計算'!$C$8:$C$131,"早")&gt;0,"早",IF(COUNTIFS('割当計算'!$A$8:$A$131,AB$5,'割当計算'!$F$8:$F$131,6,'割当計算'!$C$8:$C$131,"遅")&gt;0,"遅","休")))))</x:f>
        <x:v>休</x:v>
      </x:c>
      <x:c r="AC12" s="16" t="str">
        <x:f>IF(AC$5="","",IF('希望休'!AC12="休","希休",IF('希望休'!AC12&lt;&gt;"可","未確認",IF(COUNTIFS('割当計算'!$A$8:$A$131,AC$5,'割当計算'!$F$8:$F$131,6,'割当計算'!$C$8:$C$131,"早")&gt;0,"早",IF(COUNTIFS('割当計算'!$A$8:$A$131,AC$5,'割当計算'!$F$8:$F$131,6,'割当計算'!$C$8:$C$131,"遅")&gt;0,"遅","休")))))</x:f>
        <x:v>遅</x:v>
      </x:c>
      <x:c r="AD12" s="16" t="str">
        <x:f>IF(AD$5="","",IF('希望休'!AD12="休","希休",IF('希望休'!AD12&lt;&gt;"可","未確認",IF(COUNTIFS('割当計算'!$A$8:$A$131,AD$5,'割当計算'!$F$8:$F$131,6,'割当計算'!$C$8:$C$131,"早")&gt;0,"早",IF(COUNTIFS('割当計算'!$A$8:$A$131,AD$5,'割当計算'!$F$8:$F$131,6,'割当計算'!$C$8:$C$131,"遅")&gt;0,"遅","休")))))</x:f>
        <x:v>休</x:v>
      </x:c>
      <x:c r="AE12" s="16" t="str">
        <x:f>IF(AE$5="","",IF('希望休'!AE12="休","希休",IF('希望休'!AE12&lt;&gt;"可","未確認",IF(COUNTIFS('割当計算'!$A$8:$A$131,AE$5,'割当計算'!$F$8:$F$131,6,'割当計算'!$C$8:$C$131,"早")&gt;0,"早",IF(COUNTIFS('割当計算'!$A$8:$A$131,AE$5,'割当計算'!$F$8:$F$131,6,'割当計算'!$C$8:$C$131,"遅")&gt;0,"遅","休")))))</x:f>
        <x:v>遅</x:v>
      </x:c>
      <x:c r="AF12" s="16" t="str">
        <x:f>IF(AF$5="","",IF('希望休'!AF12="休","希休",IF('希望休'!AF12&lt;&gt;"可","未確認",IF(COUNTIFS('割当計算'!$A$8:$A$131,AF$5,'割当計算'!$F$8:$F$131,6,'割当計算'!$C$8:$C$131,"早")&gt;0,"早",IF(COUNTIFS('割当計算'!$A$8:$A$131,AF$5,'割当計算'!$F$8:$F$131,6,'割当計算'!$C$8:$C$131,"遅")&gt;0,"遅","休")))))</x:f>
      </x:c>
      <x:c r="AG12" s="2" t="n">
        <x:f>COUNTIF(B12:AF12,"早")+COUNTIF(B12:AF12,"遅")</x:f>
        <x:v>20</x:v>
      </x:c>
      <x:c r="AH12" s="2" t="n">
        <x:f>MAX('割当計算'!R8:R131)</x:f>
        <x:v>3</x:v>
      </x:c>
      <x:c r="AI12" s="2"/>
      <x:c r="AJ12" s="2"/>
    </x:row>
    <x:row r="13" ht="24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  <x:c r="AF13" s="2"/>
      <x:c r="AG13" s="2"/>
      <x:c r="AH13" s="2"/>
      <x:c r="AI13" s="2"/>
      <x:c r="AJ13" s="2"/>
    </x:row>
    <x:row r="14" ht="24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  <x:c r="AF14" s="2"/>
      <x:c r="AG14" s="2"/>
      <x:c r="AH14" s="2"/>
      <x:c r="AI14" s="2"/>
      <x:c r="AJ14" s="2"/>
    </x:row>
    <x:row r="15" ht="24" customHeight="1">
      <x:c r="A15" s="2" t="str">
        <x:v>早番の配置</x:v>
      </x:c>
      <x:c r="B15" s="2" t="n">
        <x:f>IF(B$5="","",COUNTIF(B7:B12,"早"))</x:f>
        <x:v>2</x:v>
      </x:c>
      <x:c r="C15" s="2" t="n">
        <x:f>IF(C$5="","",COUNTIF(C7:C12,"早"))</x:f>
        <x:v>2</x:v>
      </x:c>
      <x:c r="D15" s="2" t="n">
        <x:f>IF(D$5="","",COUNTIF(D7:D12,"早"))</x:f>
        <x:v>2</x:v>
      </x:c>
      <x:c r="E15" s="2" t="n">
        <x:f>IF(E$5="","",COUNTIF(E7:E12,"早"))</x:f>
        <x:v>2</x:v>
      </x:c>
      <x:c r="F15" s="2" t="n">
        <x:f>IF(F$5="","",COUNTIF(F7:F12,"早"))</x:f>
        <x:v>2</x:v>
      </x:c>
      <x:c r="G15" s="2" t="n">
        <x:f>IF(G$5="","",COUNTIF(G7:G12,"早"))</x:f>
        <x:v>2</x:v>
      </x:c>
      <x:c r="H15" s="2" t="n">
        <x:f>IF(H$5="","",COUNTIF(H7:H12,"早"))</x:f>
        <x:v>2</x:v>
      </x:c>
      <x:c r="I15" s="2" t="n">
        <x:f>IF(I$5="","",COUNTIF(I7:I12,"早"))</x:f>
        <x:v>2</x:v>
      </x:c>
      <x:c r="J15" s="2" t="n">
        <x:f>IF(J$5="","",COUNTIF(J7:J12,"早"))</x:f>
        <x:v>2</x:v>
      </x:c>
      <x:c r="K15" s="2" t="n">
        <x:f>IF(K$5="","",COUNTIF(K7:K12,"早"))</x:f>
        <x:v>2</x:v>
      </x:c>
      <x:c r="L15" s="2" t="n">
        <x:f>IF(L$5="","",COUNTIF(L7:L12,"早"))</x:f>
        <x:v>2</x:v>
      </x:c>
      <x:c r="M15" s="2" t="n">
        <x:f>IF(M$5="","",COUNTIF(M7:M12,"早"))</x:f>
        <x:v>2</x:v>
      </x:c>
      <x:c r="N15" s="2" t="n">
        <x:f>IF(N$5="","",COUNTIF(N7:N12,"早"))</x:f>
        <x:v>2</x:v>
      </x:c>
      <x:c r="O15" s="2" t="n">
        <x:f>IF(O$5="","",COUNTIF(O7:O12,"早"))</x:f>
        <x:v>2</x:v>
      </x:c>
      <x:c r="P15" s="2" t="n">
        <x:f>IF(P$5="","",COUNTIF(P7:P12,"早"))</x:f>
        <x:v>2</x:v>
      </x:c>
      <x:c r="Q15" s="2" t="n">
        <x:f>IF(Q$5="","",COUNTIF(Q7:Q12,"早"))</x:f>
        <x:v>2</x:v>
      </x:c>
      <x:c r="R15" s="2" t="n">
        <x:f>IF(R$5="","",COUNTIF(R7:R12,"早"))</x:f>
        <x:v>2</x:v>
      </x:c>
      <x:c r="S15" s="2" t="n">
        <x:f>IF(S$5="","",COUNTIF(S7:S12,"早"))</x:f>
        <x:v>2</x:v>
      </x:c>
      <x:c r="T15" s="2" t="n">
        <x:f>IF(T$5="","",COUNTIF(T7:T12,"早"))</x:f>
        <x:v>2</x:v>
      </x:c>
      <x:c r="U15" s="2" t="n">
        <x:f>IF(U$5="","",COUNTIF(U7:U12,"早"))</x:f>
        <x:v>2</x:v>
      </x:c>
      <x:c r="V15" s="2" t="n">
        <x:f>IF(V$5="","",COUNTIF(V7:V12,"早"))</x:f>
        <x:v>2</x:v>
      </x:c>
      <x:c r="W15" s="2" t="n">
        <x:f>IF(W$5="","",COUNTIF(W7:W12,"早"))</x:f>
        <x:v>2</x:v>
      </x:c>
      <x:c r="X15" s="2" t="n">
        <x:f>IF(X$5="","",COUNTIF(X7:X12,"早"))</x:f>
        <x:v>2</x:v>
      </x:c>
      <x:c r="Y15" s="2" t="n">
        <x:f>IF(Y$5="","",COUNTIF(Y7:Y12,"早"))</x:f>
        <x:v>2</x:v>
      </x:c>
      <x:c r="Z15" s="2" t="n">
        <x:f>IF(Z$5="","",COUNTIF(Z7:Z12,"早"))</x:f>
        <x:v>2</x:v>
      </x:c>
      <x:c r="AA15" s="2" t="n">
        <x:f>IF(AA$5="","",COUNTIF(AA7:AA12,"早"))</x:f>
        <x:v>2</x:v>
      </x:c>
      <x:c r="AB15" s="2" t="n">
        <x:f>IF(AB$5="","",COUNTIF(AB7:AB12,"早"))</x:f>
        <x:v>2</x:v>
      </x:c>
      <x:c r="AC15" s="2" t="n">
        <x:f>IF(AC$5="","",COUNTIF(AC7:AC12,"早"))</x:f>
        <x:v>2</x:v>
      </x:c>
      <x:c r="AD15" s="2" t="n">
        <x:f>IF(AD$5="","",COUNTIF(AD7:AD12,"早"))</x:f>
        <x:v>2</x:v>
      </x:c>
      <x:c r="AE15" s="2" t="n">
        <x:f>IF(AE$5="","",COUNTIF(AE7:AE12,"早"))</x:f>
        <x:v>2</x:v>
      </x:c>
      <x:c r="AF15" s="2" t="str">
        <x:f>IF(AF$5="","",COUNTIF(AF7:AF12,"早"))</x:f>
      </x:c>
      <x:c r="AG15" s="2"/>
      <x:c r="AH15" s="2"/>
      <x:c r="AI15" s="2"/>
      <x:c r="AJ15" s="2"/>
    </x:row>
    <x:row r="16" ht="24" customHeight="1">
      <x:c r="A16" s="2" t="str">
        <x:v>早番の必要人数</x:v>
      </x:c>
      <x:c r="B16" s="2" t="n">
        <x:f>IF(B$5="","",'設定'!B17)</x:f>
        <x:v>2</x:v>
      </x:c>
      <x:c r="C16" s="2" t="n">
        <x:f>IF(C$5="","",'設定'!C17)</x:f>
        <x:v>2</x:v>
      </x:c>
      <x:c r="D16" s="2" t="n">
        <x:f>IF(D$5="","",'設定'!D17)</x:f>
        <x:v>2</x:v>
      </x:c>
      <x:c r="E16" s="2" t="n">
        <x:f>IF(E$5="","",'設定'!E17)</x:f>
        <x:v>2</x:v>
      </x:c>
      <x:c r="F16" s="2" t="n">
        <x:f>IF(F$5="","",'設定'!F17)</x:f>
        <x:v>2</x:v>
      </x:c>
      <x:c r="G16" s="2" t="n">
        <x:f>IF(G$5="","",'設定'!G17)</x:f>
        <x:v>2</x:v>
      </x:c>
      <x:c r="H16" s="2" t="n">
        <x:f>IF(H$5="","",'設定'!H17)</x:f>
        <x:v>2</x:v>
      </x:c>
      <x:c r="I16" s="2" t="n">
        <x:f>IF(I$5="","",'設定'!I17)</x:f>
        <x:v>2</x:v>
      </x:c>
      <x:c r="J16" s="2" t="n">
        <x:f>IF(J$5="","",'設定'!J17)</x:f>
        <x:v>2</x:v>
      </x:c>
      <x:c r="K16" s="2" t="n">
        <x:f>IF(K$5="","",'設定'!K17)</x:f>
        <x:v>2</x:v>
      </x:c>
      <x:c r="L16" s="2" t="n">
        <x:f>IF(L$5="","",'設定'!L17)</x:f>
        <x:v>2</x:v>
      </x:c>
      <x:c r="M16" s="2" t="n">
        <x:f>IF(M$5="","",'設定'!M17)</x:f>
        <x:v>2</x:v>
      </x:c>
      <x:c r="N16" s="2" t="n">
        <x:f>IF(N$5="","",'設定'!N17)</x:f>
        <x:v>2</x:v>
      </x:c>
      <x:c r="O16" s="2" t="n">
        <x:f>IF(O$5="","",'設定'!O17)</x:f>
        <x:v>2</x:v>
      </x:c>
      <x:c r="P16" s="2" t="n">
        <x:f>IF(P$5="","",'設定'!P17)</x:f>
        <x:v>2</x:v>
      </x:c>
      <x:c r="Q16" s="2" t="n">
        <x:f>IF(Q$5="","",'設定'!Q17)</x:f>
        <x:v>2</x:v>
      </x:c>
      <x:c r="R16" s="2" t="n">
        <x:f>IF(R$5="","",'設定'!R17)</x:f>
        <x:v>2</x:v>
      </x:c>
      <x:c r="S16" s="2" t="n">
        <x:f>IF(S$5="","",'設定'!S17)</x:f>
        <x:v>2</x:v>
      </x:c>
      <x:c r="T16" s="2" t="n">
        <x:f>IF(T$5="","",'設定'!T17)</x:f>
        <x:v>2</x:v>
      </x:c>
      <x:c r="U16" s="2" t="n">
        <x:f>IF(U$5="","",'設定'!U17)</x:f>
        <x:v>2</x:v>
      </x:c>
      <x:c r="V16" s="2" t="n">
        <x:f>IF(V$5="","",'設定'!V17)</x:f>
        <x:v>2</x:v>
      </x:c>
      <x:c r="W16" s="2" t="n">
        <x:f>IF(W$5="","",'設定'!W17)</x:f>
        <x:v>2</x:v>
      </x:c>
      <x:c r="X16" s="2" t="n">
        <x:f>IF(X$5="","",'設定'!X17)</x:f>
        <x:v>2</x:v>
      </x:c>
      <x:c r="Y16" s="2" t="n">
        <x:f>IF(Y$5="","",'設定'!Y17)</x:f>
        <x:v>2</x:v>
      </x:c>
      <x:c r="Z16" s="2" t="n">
        <x:f>IF(Z$5="","",'設定'!Z17)</x:f>
        <x:v>2</x:v>
      </x:c>
      <x:c r="AA16" s="2" t="n">
        <x:f>IF(AA$5="","",'設定'!AA17)</x:f>
        <x:v>2</x:v>
      </x:c>
      <x:c r="AB16" s="2" t="n">
        <x:f>IF(AB$5="","",'設定'!AB17)</x:f>
        <x:v>2</x:v>
      </x:c>
      <x:c r="AC16" s="2" t="n">
        <x:f>IF(AC$5="","",'設定'!AC17)</x:f>
        <x:v>2</x:v>
      </x:c>
      <x:c r="AD16" s="2" t="n">
        <x:f>IF(AD$5="","",'設定'!AD17)</x:f>
        <x:v>2</x:v>
      </x:c>
      <x:c r="AE16" s="2" t="n">
        <x:f>IF(AE$5="","",'設定'!AE17)</x:f>
        <x:v>2</x:v>
      </x:c>
      <x:c r="AF16" s="2" t="str">
        <x:f>IF(AF$5="","",'設定'!AF17)</x:f>
      </x:c>
      <x:c r="AG16" s="2"/>
      <x:c r="AH16" s="2"/>
      <x:c r="AI16" s="2"/>
      <x:c r="AJ16" s="2"/>
    </x:row>
    <x:row r="17" ht="24" customHeight="1">
      <x:c r="A17" s="2" t="str">
        <x:v>早番の不足</x:v>
      </x:c>
      <x:c r="B17" s="2" t="n">
        <x:f>IF(B$5="","",MAX(0,B16-B15))</x:f>
        <x:v>0</x:v>
      </x:c>
      <x:c r="C17" s="2" t="n">
        <x:f>IF(C$5="","",MAX(0,C16-C15))</x:f>
        <x:v>0</x:v>
      </x:c>
      <x:c r="D17" s="2" t="n">
        <x:f>IF(D$5="","",MAX(0,D16-D15))</x:f>
        <x:v>0</x:v>
      </x:c>
      <x:c r="E17" s="2" t="n">
        <x:f>IF(E$5="","",MAX(0,E16-E15))</x:f>
        <x:v>0</x:v>
      </x:c>
      <x:c r="F17" s="2" t="n">
        <x:f>IF(F$5="","",MAX(0,F16-F15))</x:f>
        <x:v>0</x:v>
      </x:c>
      <x:c r="G17" s="2" t="n">
        <x:f>IF(G$5="","",MAX(0,G16-G15))</x:f>
        <x:v>0</x:v>
      </x:c>
      <x:c r="H17" s="2" t="n">
        <x:f>IF(H$5="","",MAX(0,H16-H15))</x:f>
        <x:v>0</x:v>
      </x:c>
      <x:c r="I17" s="2" t="n">
        <x:f>IF(I$5="","",MAX(0,I16-I15))</x:f>
        <x:v>0</x:v>
      </x:c>
      <x:c r="J17" s="2" t="n">
        <x:f>IF(J$5="","",MAX(0,J16-J15))</x:f>
        <x:v>0</x:v>
      </x:c>
      <x:c r="K17" s="2" t="n">
        <x:f>IF(K$5="","",MAX(0,K16-K15))</x:f>
        <x:v>0</x:v>
      </x:c>
      <x:c r="L17" s="2" t="n">
        <x:f>IF(L$5="","",MAX(0,L16-L15))</x:f>
        <x:v>0</x:v>
      </x:c>
      <x:c r="M17" s="2" t="n">
        <x:f>IF(M$5="","",MAX(0,M16-M15))</x:f>
        <x:v>0</x:v>
      </x:c>
      <x:c r="N17" s="2" t="n">
        <x:f>IF(N$5="","",MAX(0,N16-N15))</x:f>
        <x:v>0</x:v>
      </x:c>
      <x:c r="O17" s="2" t="n">
        <x:f>IF(O$5="","",MAX(0,O16-O15))</x:f>
        <x:v>0</x:v>
      </x:c>
      <x:c r="P17" s="2" t="n">
        <x:f>IF(P$5="","",MAX(0,P16-P15))</x:f>
        <x:v>0</x:v>
      </x:c>
      <x:c r="Q17" s="2" t="n">
        <x:f>IF(Q$5="","",MAX(0,Q16-Q15))</x:f>
        <x:v>0</x:v>
      </x:c>
      <x:c r="R17" s="2" t="n">
        <x:f>IF(R$5="","",MAX(0,R16-R15))</x:f>
        <x:v>0</x:v>
      </x:c>
      <x:c r="S17" s="2" t="n">
        <x:f>IF(S$5="","",MAX(0,S16-S15))</x:f>
        <x:v>0</x:v>
      </x:c>
      <x:c r="T17" s="2" t="n">
        <x:f>IF(T$5="","",MAX(0,T16-T15))</x:f>
        <x:v>0</x:v>
      </x:c>
      <x:c r="U17" s="2" t="n">
        <x:f>IF(U$5="","",MAX(0,U16-U15))</x:f>
        <x:v>0</x:v>
      </x:c>
      <x:c r="V17" s="2" t="n">
        <x:f>IF(V$5="","",MAX(0,V16-V15))</x:f>
        <x:v>0</x:v>
      </x:c>
      <x:c r="W17" s="2" t="n">
        <x:f>IF(W$5="","",MAX(0,W16-W15))</x:f>
        <x:v>0</x:v>
      </x:c>
      <x:c r="X17" s="2" t="n">
        <x:f>IF(X$5="","",MAX(0,X16-X15))</x:f>
        <x:v>0</x:v>
      </x:c>
      <x:c r="Y17" s="2" t="n">
        <x:f>IF(Y$5="","",MAX(0,Y16-Y15))</x:f>
        <x:v>0</x:v>
      </x:c>
      <x:c r="Z17" s="2" t="n">
        <x:f>IF(Z$5="","",MAX(0,Z16-Z15))</x:f>
        <x:v>0</x:v>
      </x:c>
      <x:c r="AA17" s="2" t="n">
        <x:f>IF(AA$5="","",MAX(0,AA16-AA15))</x:f>
        <x:v>0</x:v>
      </x:c>
      <x:c r="AB17" s="2" t="n">
        <x:f>IF(AB$5="","",MAX(0,AB16-AB15))</x:f>
        <x:v>0</x:v>
      </x:c>
      <x:c r="AC17" s="2" t="n">
        <x:f>IF(AC$5="","",MAX(0,AC16-AC15))</x:f>
        <x:v>0</x:v>
      </x:c>
      <x:c r="AD17" s="2" t="n">
        <x:f>IF(AD$5="","",MAX(0,AD16-AD15))</x:f>
        <x:v>0</x:v>
      </x:c>
      <x:c r="AE17" s="2" t="n">
        <x:f>IF(AE$5="","",MAX(0,AE16-AE15))</x:f>
        <x:v>0</x:v>
      </x:c>
      <x:c r="AF17" s="2" t="str">
        <x:f>IF(AF$5="","",MAX(0,AF16-AF15))</x:f>
      </x:c>
      <x:c r="AG17" s="2"/>
      <x:c r="AH17" s="2"/>
      <x:c r="AI17" s="2"/>
      <x:c r="AJ17" s="2"/>
    </x:row>
    <x:row r="18" ht="24" customHeight="1">
      <x:c r="A18" s="2" t="str">
        <x:v>遅番の配置</x:v>
      </x:c>
      <x:c r="B18" s="2" t="n">
        <x:f>IF(B$5="","",COUNTIF(B7:B12,"遅"))</x:f>
        <x:v>2</x:v>
      </x:c>
      <x:c r="C18" s="2" t="n">
        <x:f>IF(C$5="","",COUNTIF(C7:C12,"遅"))</x:f>
        <x:v>2</x:v>
      </x:c>
      <x:c r="D18" s="2" t="n">
        <x:f>IF(D$5="","",COUNTIF(D7:D12,"遅"))</x:f>
        <x:v>2</x:v>
      </x:c>
      <x:c r="E18" s="2" t="n">
        <x:f>IF(E$5="","",COUNTIF(E7:E12,"遅"))</x:f>
        <x:v>2</x:v>
      </x:c>
      <x:c r="F18" s="2" t="n">
        <x:f>IF(F$5="","",COUNTIF(F7:F12,"遅"))</x:f>
        <x:v>2</x:v>
      </x:c>
      <x:c r="G18" s="2" t="n">
        <x:f>IF(G$5="","",COUNTIF(G7:G12,"遅"))</x:f>
        <x:v>2</x:v>
      </x:c>
      <x:c r="H18" s="2" t="n">
        <x:f>IF(H$5="","",COUNTIF(H7:H12,"遅"))</x:f>
        <x:v>2</x:v>
      </x:c>
      <x:c r="I18" s="2" t="n">
        <x:f>IF(I$5="","",COUNTIF(I7:I12,"遅"))</x:f>
        <x:v>2</x:v>
      </x:c>
      <x:c r="J18" s="2" t="n">
        <x:f>IF(J$5="","",COUNTIF(J7:J12,"遅"))</x:f>
        <x:v>2</x:v>
      </x:c>
      <x:c r="K18" s="2" t="n">
        <x:f>IF(K$5="","",COUNTIF(K7:K12,"遅"))</x:f>
        <x:v>2</x:v>
      </x:c>
      <x:c r="L18" s="2" t="n">
        <x:f>IF(L$5="","",COUNTIF(L7:L12,"遅"))</x:f>
        <x:v>2</x:v>
      </x:c>
      <x:c r="M18" s="2" t="n">
        <x:f>IF(M$5="","",COUNTIF(M7:M12,"遅"))</x:f>
        <x:v>2</x:v>
      </x:c>
      <x:c r="N18" s="2" t="n">
        <x:f>IF(N$5="","",COUNTIF(N7:N12,"遅"))</x:f>
        <x:v>2</x:v>
      </x:c>
      <x:c r="O18" s="2" t="n">
        <x:f>IF(O$5="","",COUNTIF(O7:O12,"遅"))</x:f>
        <x:v>2</x:v>
      </x:c>
      <x:c r="P18" s="2" t="n">
        <x:f>IF(P$5="","",COUNTIF(P7:P12,"遅"))</x:f>
        <x:v>2</x:v>
      </x:c>
      <x:c r="Q18" s="2" t="n">
        <x:f>IF(Q$5="","",COUNTIF(Q7:Q12,"遅"))</x:f>
        <x:v>2</x:v>
      </x:c>
      <x:c r="R18" s="2" t="n">
        <x:f>IF(R$5="","",COUNTIF(R7:R12,"遅"))</x:f>
        <x:v>2</x:v>
      </x:c>
      <x:c r="S18" s="2" t="n">
        <x:f>IF(S$5="","",COUNTIF(S7:S12,"遅"))</x:f>
        <x:v>2</x:v>
      </x:c>
      <x:c r="T18" s="2" t="n">
        <x:f>IF(T$5="","",COUNTIF(T7:T12,"遅"))</x:f>
        <x:v>2</x:v>
      </x:c>
      <x:c r="U18" s="2" t="n">
        <x:f>IF(U$5="","",COUNTIF(U7:U12,"遅"))</x:f>
        <x:v>2</x:v>
      </x:c>
      <x:c r="V18" s="2" t="n">
        <x:f>IF(V$5="","",COUNTIF(V7:V12,"遅"))</x:f>
        <x:v>2</x:v>
      </x:c>
      <x:c r="W18" s="2" t="n">
        <x:f>IF(W$5="","",COUNTIF(W7:W12,"遅"))</x:f>
        <x:v>2</x:v>
      </x:c>
      <x:c r="X18" s="2" t="n">
        <x:f>IF(X$5="","",COUNTIF(X7:X12,"遅"))</x:f>
        <x:v>2</x:v>
      </x:c>
      <x:c r="Y18" s="2" t="n">
        <x:f>IF(Y$5="","",COUNTIF(Y7:Y12,"遅"))</x:f>
        <x:v>2</x:v>
      </x:c>
      <x:c r="Z18" s="2" t="n">
        <x:f>IF(Z$5="","",COUNTIF(Z7:Z12,"遅"))</x:f>
        <x:v>2</x:v>
      </x:c>
      <x:c r="AA18" s="2" t="n">
        <x:f>IF(AA$5="","",COUNTIF(AA7:AA12,"遅"))</x:f>
        <x:v>2</x:v>
      </x:c>
      <x:c r="AB18" s="2" t="n">
        <x:f>IF(AB$5="","",COUNTIF(AB7:AB12,"遅"))</x:f>
        <x:v>2</x:v>
      </x:c>
      <x:c r="AC18" s="2" t="n">
        <x:f>IF(AC$5="","",COUNTIF(AC7:AC12,"遅"))</x:f>
        <x:v>2</x:v>
      </x:c>
      <x:c r="AD18" s="2" t="n">
        <x:f>IF(AD$5="","",COUNTIF(AD7:AD12,"遅"))</x:f>
        <x:v>2</x:v>
      </x:c>
      <x:c r="AE18" s="2" t="n">
        <x:f>IF(AE$5="","",COUNTIF(AE7:AE12,"遅"))</x:f>
        <x:v>2</x:v>
      </x:c>
      <x:c r="AF18" s="2" t="str">
        <x:f>IF(AF$5="","",COUNTIF(AF7:AF12,"遅"))</x:f>
      </x:c>
      <x:c r="AG18" s="2"/>
      <x:c r="AH18" s="2"/>
      <x:c r="AI18" s="2"/>
      <x:c r="AJ18" s="2"/>
    </x:row>
    <x:row r="19" ht="24" customHeight="1">
      <x:c r="A19" s="2" t="str">
        <x:v>遅番の必要人数</x:v>
      </x:c>
      <x:c r="B19" s="2" t="n">
        <x:f>IF(B$5="","",'設定'!B18)</x:f>
        <x:v>2</x:v>
      </x:c>
      <x:c r="C19" s="2" t="n">
        <x:f>IF(C$5="","",'設定'!C18)</x:f>
        <x:v>2</x:v>
      </x:c>
      <x:c r="D19" s="2" t="n">
        <x:f>IF(D$5="","",'設定'!D18)</x:f>
        <x:v>2</x:v>
      </x:c>
      <x:c r="E19" s="2" t="n">
        <x:f>IF(E$5="","",'設定'!E18)</x:f>
        <x:v>2</x:v>
      </x:c>
      <x:c r="F19" s="2" t="n">
        <x:f>IF(F$5="","",'設定'!F18)</x:f>
        <x:v>2</x:v>
      </x:c>
      <x:c r="G19" s="2" t="n">
        <x:f>IF(G$5="","",'設定'!G18)</x:f>
        <x:v>2</x:v>
      </x:c>
      <x:c r="H19" s="2" t="n">
        <x:f>IF(H$5="","",'設定'!H18)</x:f>
        <x:v>2</x:v>
      </x:c>
      <x:c r="I19" s="2" t="n">
        <x:f>IF(I$5="","",'設定'!I18)</x:f>
        <x:v>2</x:v>
      </x:c>
      <x:c r="J19" s="2" t="n">
        <x:f>IF(J$5="","",'設定'!J18)</x:f>
        <x:v>2</x:v>
      </x:c>
      <x:c r="K19" s="2" t="n">
        <x:f>IF(K$5="","",'設定'!K18)</x:f>
        <x:v>2</x:v>
      </x:c>
      <x:c r="L19" s="2" t="n">
        <x:f>IF(L$5="","",'設定'!L18)</x:f>
        <x:v>2</x:v>
      </x:c>
      <x:c r="M19" s="2" t="n">
        <x:f>IF(M$5="","",'設定'!M18)</x:f>
        <x:v>2</x:v>
      </x:c>
      <x:c r="N19" s="2" t="n">
        <x:f>IF(N$5="","",'設定'!N18)</x:f>
        <x:v>2</x:v>
      </x:c>
      <x:c r="O19" s="2" t="n">
        <x:f>IF(O$5="","",'設定'!O18)</x:f>
        <x:v>2</x:v>
      </x:c>
      <x:c r="P19" s="2" t="n">
        <x:f>IF(P$5="","",'設定'!P18)</x:f>
        <x:v>2</x:v>
      </x:c>
      <x:c r="Q19" s="2" t="n">
        <x:f>IF(Q$5="","",'設定'!Q18)</x:f>
        <x:v>2</x:v>
      </x:c>
      <x:c r="R19" s="2" t="n">
        <x:f>IF(R$5="","",'設定'!R18)</x:f>
        <x:v>2</x:v>
      </x:c>
      <x:c r="S19" s="2" t="n">
        <x:f>IF(S$5="","",'設定'!S18)</x:f>
        <x:v>2</x:v>
      </x:c>
      <x:c r="T19" s="2" t="n">
        <x:f>IF(T$5="","",'設定'!T18)</x:f>
        <x:v>2</x:v>
      </x:c>
      <x:c r="U19" s="2" t="n">
        <x:f>IF(U$5="","",'設定'!U18)</x:f>
        <x:v>2</x:v>
      </x:c>
      <x:c r="V19" s="2" t="n">
        <x:f>IF(V$5="","",'設定'!V18)</x:f>
        <x:v>2</x:v>
      </x:c>
      <x:c r="W19" s="2" t="n">
        <x:f>IF(W$5="","",'設定'!W18)</x:f>
        <x:v>2</x:v>
      </x:c>
      <x:c r="X19" s="2" t="n">
        <x:f>IF(X$5="","",'設定'!X18)</x:f>
        <x:v>2</x:v>
      </x:c>
      <x:c r="Y19" s="2" t="n">
        <x:f>IF(Y$5="","",'設定'!Y18)</x:f>
        <x:v>2</x:v>
      </x:c>
      <x:c r="Z19" s="2" t="n">
        <x:f>IF(Z$5="","",'設定'!Z18)</x:f>
        <x:v>2</x:v>
      </x:c>
      <x:c r="AA19" s="2" t="n">
        <x:f>IF(AA$5="","",'設定'!AA18)</x:f>
        <x:v>2</x:v>
      </x:c>
      <x:c r="AB19" s="2" t="n">
        <x:f>IF(AB$5="","",'設定'!AB18)</x:f>
        <x:v>2</x:v>
      </x:c>
      <x:c r="AC19" s="2" t="n">
        <x:f>IF(AC$5="","",'設定'!AC18)</x:f>
        <x:v>2</x:v>
      </x:c>
      <x:c r="AD19" s="2" t="n">
        <x:f>IF(AD$5="","",'設定'!AD18)</x:f>
        <x:v>2</x:v>
      </x:c>
      <x:c r="AE19" s="2" t="n">
        <x:f>IF(AE$5="","",'設定'!AE18)</x:f>
        <x:v>2</x:v>
      </x:c>
      <x:c r="AF19" s="2" t="str">
        <x:f>IF(AF$5="","",'設定'!AF18)</x:f>
      </x:c>
      <x:c r="AG19" s="2"/>
      <x:c r="AH19" s="2"/>
      <x:c r="AI19" s="2"/>
      <x:c r="AJ19" s="2"/>
    </x:row>
    <x:row r="20" ht="24" customHeight="1">
      <x:c r="A20" s="2" t="str">
        <x:v>遅番の不足</x:v>
      </x:c>
      <x:c r="B20" s="2" t="n">
        <x:f>IF(B$5="","",MAX(0,B19-B18))</x:f>
        <x:v>0</x:v>
      </x:c>
      <x:c r="C20" s="2" t="n">
        <x:f>IF(C$5="","",MAX(0,C19-C18))</x:f>
        <x:v>0</x:v>
      </x:c>
      <x:c r="D20" s="2" t="n">
        <x:f>IF(D$5="","",MAX(0,D19-D18))</x:f>
        <x:v>0</x:v>
      </x:c>
      <x:c r="E20" s="2" t="n">
        <x:f>IF(E$5="","",MAX(0,E19-E18))</x:f>
        <x:v>0</x:v>
      </x:c>
      <x:c r="F20" s="2" t="n">
        <x:f>IF(F$5="","",MAX(0,F19-F18))</x:f>
        <x:v>0</x:v>
      </x:c>
      <x:c r="G20" s="2" t="n">
        <x:f>IF(G$5="","",MAX(0,G19-G18))</x:f>
        <x:v>0</x:v>
      </x:c>
      <x:c r="H20" s="2" t="n">
        <x:f>IF(H$5="","",MAX(0,H19-H18))</x:f>
        <x:v>0</x:v>
      </x:c>
      <x:c r="I20" s="2" t="n">
        <x:f>IF(I$5="","",MAX(0,I19-I18))</x:f>
        <x:v>0</x:v>
      </x:c>
      <x:c r="J20" s="2" t="n">
        <x:f>IF(J$5="","",MAX(0,J19-J18))</x:f>
        <x:v>0</x:v>
      </x:c>
      <x:c r="K20" s="2" t="n">
        <x:f>IF(K$5="","",MAX(0,K19-K18))</x:f>
        <x:v>0</x:v>
      </x:c>
      <x:c r="L20" s="2" t="n">
        <x:f>IF(L$5="","",MAX(0,L19-L18))</x:f>
        <x:v>0</x:v>
      </x:c>
      <x:c r="M20" s="2" t="n">
        <x:f>IF(M$5="","",MAX(0,M19-M18))</x:f>
        <x:v>0</x:v>
      </x:c>
      <x:c r="N20" s="2" t="n">
        <x:f>IF(N$5="","",MAX(0,N19-N18))</x:f>
        <x:v>0</x:v>
      </x:c>
      <x:c r="O20" s="2" t="n">
        <x:f>IF(O$5="","",MAX(0,O19-O18))</x:f>
        <x:v>0</x:v>
      </x:c>
      <x:c r="P20" s="2" t="n">
        <x:f>IF(P$5="","",MAX(0,P19-P18))</x:f>
        <x:v>0</x:v>
      </x:c>
      <x:c r="Q20" s="2" t="n">
        <x:f>IF(Q$5="","",MAX(0,Q19-Q18))</x:f>
        <x:v>0</x:v>
      </x:c>
      <x:c r="R20" s="2" t="n">
        <x:f>IF(R$5="","",MAX(0,R19-R18))</x:f>
        <x:v>0</x:v>
      </x:c>
      <x:c r="S20" s="2" t="n">
        <x:f>IF(S$5="","",MAX(0,S19-S18))</x:f>
        <x:v>0</x:v>
      </x:c>
      <x:c r="T20" s="2" t="n">
        <x:f>IF(T$5="","",MAX(0,T19-T18))</x:f>
        <x:v>0</x:v>
      </x:c>
      <x:c r="U20" s="2" t="n">
        <x:f>IF(U$5="","",MAX(0,U19-U18))</x:f>
        <x:v>0</x:v>
      </x:c>
      <x:c r="V20" s="2" t="n">
        <x:f>IF(V$5="","",MAX(0,V19-V18))</x:f>
        <x:v>0</x:v>
      </x:c>
      <x:c r="W20" s="2" t="n">
        <x:f>IF(W$5="","",MAX(0,W19-W18))</x:f>
        <x:v>0</x:v>
      </x:c>
      <x:c r="X20" s="2" t="n">
        <x:f>IF(X$5="","",MAX(0,X19-X18))</x:f>
        <x:v>0</x:v>
      </x:c>
      <x:c r="Y20" s="2" t="n">
        <x:f>IF(Y$5="","",MAX(0,Y19-Y18))</x:f>
        <x:v>0</x:v>
      </x:c>
      <x:c r="Z20" s="2" t="n">
        <x:f>IF(Z$5="","",MAX(0,Z19-Z18))</x:f>
        <x:v>0</x:v>
      </x:c>
      <x:c r="AA20" s="2" t="n">
        <x:f>IF(AA$5="","",MAX(0,AA19-AA18))</x:f>
        <x:v>0</x:v>
      </x:c>
      <x:c r="AB20" s="2" t="n">
        <x:f>IF(AB$5="","",MAX(0,AB19-AB18))</x:f>
        <x:v>0</x:v>
      </x:c>
      <x:c r="AC20" s="2" t="n">
        <x:f>IF(AC$5="","",MAX(0,AC19-AC18))</x:f>
        <x:v>0</x:v>
      </x:c>
      <x:c r="AD20" s="2" t="n">
        <x:f>IF(AD$5="","",MAX(0,AD19-AD18))</x:f>
        <x:v>0</x:v>
      </x:c>
      <x:c r="AE20" s="2" t="n">
        <x:f>IF(AE$5="","",MAX(0,AE19-AE18))</x:f>
        <x:v>0</x:v>
      </x:c>
      <x:c r="AF20" s="2" t="str">
        <x:f>IF(AF$5="","",MAX(0,AF19-AF18))</x:f>
      </x:c>
      <x:c r="AG20" s="2"/>
      <x:c r="AH20" s="2"/>
      <x:c r="AI20" s="2"/>
      <x:c r="AJ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  <x:c r="AF21" s="2"/>
      <x:c r="AG21" s="2"/>
      <x:c r="AH21" s="2"/>
      <x:c r="AI21" s="2"/>
      <x:c r="AJ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  <x:c r="AF22" s="2"/>
      <x:c r="AG22" s="2"/>
      <x:c r="AH22" s="2"/>
      <x:c r="AI22" s="2"/>
      <x:c r="AJ22" s="2"/>
    </x:row>
    <x:row r="23" ht="24" customHeight="1">
      <x:c r="A23" s="2" t="str">
        <x:v>不足枠の合計</x:v>
      </x:c>
      <x:c r="B23" s="2" t="n">
        <x:f>SUM(B17:AF17)+SUM(B20:AF20)</x:f>
        <x:v>0</x:v>
      </x:c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  <x:c r="AF23" s="2"/>
      <x:c r="AG23" s="2"/>
      <x:c r="AH23" s="2"/>
      <x:c r="AI23" s="2"/>
      <x:c r="AJ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  <x:c r="AF24" s="2"/>
      <x:c r="AG24" s="2"/>
      <x:c r="AH24" s="2"/>
      <x:c r="AI24" s="2"/>
      <x:c r="AJ24" s="2"/>
    </x:row>
    <x:row r="25" ht="24" customHeight="1">
      <x:c r="A25" s="2" t="str">
        <x:v>確認状況</x:v>
      </x:c>
      <x:c r="B25" s="17" t="str">
        <x:f>IF('設定'!B21&lt;&gt;"入力OK","設定に入力漏れ・範囲外があります",IF('希望休'!B15&gt;0,"希望休シートに未確認・不正な入力があります",IF(B23&gt;0,"不足あり：条件・優先順を見直してください","登録条件の不足なし：追加条件を人が確認して確定")))</x:f>
        <x:v>登録条件の不足なし：追加条件を人が確認して確定</x:v>
      </x:c>
      <x:c r="C25" s="17"/>
      <x:c r="D25" s="17"/>
      <x:c r="E25" s="17"/>
      <x:c r="F25" s="17"/>
      <x:c r="G25" s="17"/>
      <x:c r="H25" s="17"/>
      <x:c r="I25" s="17"/>
      <x:c r="J25" s="17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  <x:c r="AF25" s="2"/>
      <x:c r="AG25" s="2"/>
      <x:c r="AH25" s="2"/>
      <x:c r="AI25" s="2"/>
      <x:c r="AJ25" s="2"/>
    </x:row>
    <x:row r="26" ht="24" customHeight="1">
      <x:c r="A26" s="2"/>
      <x:c r="B26" s="17"/>
      <x:c r="C26" s="17"/>
      <x:c r="D26" s="17"/>
      <x:c r="E26" s="17"/>
      <x:c r="F26" s="17"/>
      <x:c r="G26" s="17"/>
      <x:c r="H26" s="17"/>
      <x:c r="I26" s="17"/>
      <x:c r="J26" s="17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  <x:c r="AF26" s="2"/>
      <x:c r="AG26" s="2"/>
      <x:c r="AH26" s="2"/>
      <x:c r="AI26" s="2"/>
      <x:c r="AJ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  <x:c r="AH27" s="2"/>
      <x:c r="AI27" s="2"/>
      <x:c r="AJ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  <x:c r="AH28" s="2"/>
      <x:c r="AI28" s="2"/>
      <x:c r="AJ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  <x:c r="AG29" s="2"/>
      <x:c r="AH29" s="2"/>
      <x:c r="AI29" s="2"/>
      <x:c r="AJ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  <x:c r="AG30" s="2"/>
      <x:c r="AH30" s="2"/>
      <x:c r="AI30" s="2"/>
      <x:c r="AJ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  <x:c r="AG31" s="2"/>
      <x:c r="AH31" s="2"/>
      <x:c r="AI31" s="2"/>
      <x:c r="AJ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  <x:c r="AF32" s="2"/>
      <x:c r="AG32" s="2"/>
      <x:c r="AH32" s="2"/>
      <x:c r="AI32" s="2"/>
      <x:c r="AJ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  <x:c r="AG33" s="2"/>
      <x:c r="AH33" s="2"/>
      <x:c r="AI33" s="2"/>
      <x:c r="AJ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  <x:c r="AH34" s="2"/>
      <x:c r="AI34" s="2"/>
      <x:c r="AJ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  <x:c r="AG35" s="2"/>
      <x:c r="AH35" s="2"/>
      <x:c r="AI35" s="2"/>
      <x:c r="AJ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  <x:c r="AG36" s="2"/>
      <x:c r="AH36" s="2"/>
      <x:c r="AI36" s="2"/>
      <x:c r="AJ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  <x:c r="AF37" s="2"/>
      <x:c r="AG37" s="2"/>
      <x:c r="AH37" s="2"/>
      <x:c r="AI37" s="2"/>
      <x:c r="AJ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  <x:c r="AG38" s="2"/>
      <x:c r="AH38" s="2"/>
      <x:c r="AI38" s="2"/>
      <x:c r="AJ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  <x:c r="AF39" s="2"/>
      <x:c r="AG39" s="2"/>
      <x:c r="AH39" s="2"/>
      <x:c r="AI39" s="2"/>
      <x:c r="AJ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  <x:c r="AF40" s="2"/>
      <x:c r="AG40" s="2"/>
      <x:c r="AH40" s="2"/>
      <x:c r="AI40" s="2"/>
      <x:c r="AJ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  <x:c r="AF41" s="2"/>
      <x:c r="AG41" s="2"/>
      <x:c r="AH41" s="2"/>
      <x:c r="AI41" s="2"/>
      <x:c r="AJ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  <x:c r="AF42" s="2"/>
      <x:c r="AG42" s="2"/>
      <x:c r="AH42" s="2"/>
      <x:c r="AI42" s="2"/>
      <x:c r="AJ42" s="2"/>
    </x:row>
  </x:sheetData>
  <x:mergeCells>
    <x:mergeCell ref="A1:J2"/>
    <x:mergeCell ref="A4:J4"/>
    <x:mergeCell ref="B25:J26"/>
  </x:mergeCells>
  <x:conditionalFormatting sqref="B7:AF12">
    <x:cfRule type="expression" dxfId="1" priority="1">
      <x:formula>B7="早"</x:formula>
    </x:cfRule>
    <x:cfRule type="expression" dxfId="2" priority="2">
      <x:formula>B7="日"</x:formula>
    </x:cfRule>
    <x:cfRule type="expression" dxfId="3" priority="3">
      <x:formula>B7="遅"</x:formula>
    </x:cfRule>
    <x:cfRule type="expression" dxfId="4" priority="4">
      <x:formula>B7="休"</x:formula>
    </x:cfRule>
    <x:cfRule type="expression" dxfId="5" priority="5">
      <x:formula>B7="希休"</x:formula>
    </x:cfRule>
    <x:cfRule type="expression" dxfId="6" priority="6">
      <x:formula>B7="有"</x:formula>
    </x:cfRule>
  </x:conditionalFormatting>
  <x:conditionalFormatting sqref="B17:AF17">
    <x:cfRule type="expression" dxfId="7" priority="7">
      <x:formula>B17&gt;0</x:formula>
    </x:cfRule>
  </x:conditionalFormatting>
  <x:conditionalFormatting sqref="B20:AF20">
    <x:cfRule type="expression" dxfId="8" priority="8">
      <x:formula>B20&gt;0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3" hidden="0" customWidth="1"/>
    <x:col min="2" max="2" width="9" hidden="0" customWidth="1"/>
    <x:col min="3" max="3" width="9" hidden="0" customWidth="1"/>
    <x:col min="4" max="4" width="9" hidden="0" customWidth="1"/>
    <x:col min="5" max="5" width="17" hidden="0" customWidth="1"/>
    <x:col min="6" max="6" width="9" hidden="0" customWidth="1"/>
    <x:col min="7" max="7" width="9" hidden="0" customWidth="1"/>
    <x:col min="8" max="8" width="9" hidden="0" customWidth="1"/>
    <x:col min="9" max="9" width="9" hidden="0" customWidth="1"/>
    <x:col min="10" max="10" width="9" hidden="0" customWidth="1"/>
    <x:col min="11" max="11" width="9" hidden="0" customWidth="1"/>
    <x:col min="12" max="12" width="9" hidden="0" customWidth="1"/>
    <x:col min="13" max="13" width="9" hidden="0" customWidth="1"/>
    <x:col min="14" max="14" width="9" hidden="0" customWidth="1"/>
    <x:col min="15" max="15" width="9" hidden="0" customWidth="1"/>
    <x:col min="16" max="16" width="9" hidden="0" customWidth="1"/>
    <x:col min="17" max="17" width="9" hidden="0" customWidth="1"/>
    <x:col min="18" max="18" width="9" hidden="0" customWidth="1"/>
  </x:cols>
  <x:sheetData>
    <x:row r="1" ht="24" customHeight="1">
      <x:c r="A1" s="3" t="str">
        <x:v>割当計算｜仕組みの確認用</x:v>
      </x:c>
      <x:c r="B1" s="3"/>
      <x:c r="C1" s="3"/>
      <x:c r="D1" s="3"/>
      <x:c r="E1" s="3"/>
      <x:c r="F1" s="3"/>
      <x:c r="G1" s="3"/>
      <x:c r="H1" s="3"/>
      <x:c r="I1" s="3"/>
      <x:c r="J1" s="3"/>
      <x:c r="K1" s="2"/>
      <x:c r="L1" s="2"/>
      <x:c r="M1" s="2"/>
      <x:c r="N1" s="2"/>
      <x:c r="O1" s="2"/>
      <x:c r="P1" s="2"/>
      <x:c r="Q1" s="2"/>
      <x:c r="R1" s="2"/>
    </x:row>
    <x:row r="2" ht="24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2"/>
      <x:c r="L2" s="2"/>
      <x:c r="M2" s="2"/>
      <x:c r="N2" s="2"/>
      <x:c r="O2" s="2"/>
      <x:c r="P2" s="2"/>
      <x:c r="Q2" s="2"/>
      <x:c r="R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 ht="36" customHeight="1">
      <x:c r="A4" s="5" t="str">
        <x:v>通常の操作は「設定」「希望休」「勤務案」で行います。このシートの数式は上書きしないでください。</x:v>
      </x:c>
      <x:c r="B4" s="5"/>
      <x:c r="C4" s="5"/>
      <x:c r="D4" s="5"/>
      <x:c r="E4" s="5"/>
      <x:c r="F4" s="5"/>
      <x:c r="G4" s="5"/>
      <x:c r="H4" s="5"/>
      <x:c r="I4" s="5"/>
      <x:c r="J4" s="5"/>
      <x:c r="K4" s="2"/>
      <x:c r="L4" s="2"/>
      <x:c r="M4" s="2"/>
      <x:c r="N4" s="2"/>
      <x:c r="O4" s="2"/>
      <x:c r="P4" s="2"/>
      <x:c r="Q4" s="2"/>
      <x:c r="R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8" customHeight="1">
      <x:c r="A7" s="10" t="str">
        <x:v>日付</x:v>
      </x:c>
      <x:c r="B7" s="10" t="str">
        <x:v>日番号</x:v>
      </x:c>
      <x:c r="C7" s="10" t="str">
        <x:v>区分</x:v>
      </x:c>
      <x:c r="D7" s="10" t="str">
        <x:v>必要枠</x:v>
      </x:c>
      <x:c r="E7" s="10" t="str">
        <x:v>割当氏名</x:v>
      </x:c>
      <x:c r="F7" s="10" t="str">
        <x:v>割当ID</x:v>
      </x:c>
      <x:c r="G7" s="10" t="str">
        <x:v>候補1</x:v>
      </x:c>
      <x:c r="H7" s="10" t="str">
        <x:v>候補2</x:v>
      </x:c>
      <x:c r="I7" s="10" t="str">
        <x:v>候補3</x:v>
      </x:c>
      <x:c r="J7" s="10" t="str">
        <x:v>候補4</x:v>
      </x:c>
      <x:c r="K7" s="10" t="str">
        <x:v>候補5</x:v>
      </x:c>
      <x:c r="L7" s="10" t="str">
        <x:v>候補6</x:v>
      </x:c>
      <x:c r="M7" s="10" t="str">
        <x:v>連勤1</x:v>
      </x:c>
      <x:c r="N7" s="10" t="str">
        <x:v>連勤2</x:v>
      </x:c>
      <x:c r="O7" s="10" t="str">
        <x:v>連勤3</x:v>
      </x:c>
      <x:c r="P7" s="10" t="str">
        <x:v>連勤4</x:v>
      </x:c>
      <x:c r="Q7" s="10" t="str">
        <x:v>連勤5</x:v>
      </x:c>
      <x:c r="R7" s="10" t="str">
        <x:v>連勤6</x:v>
      </x:c>
    </x:row>
    <x:row r="8" ht="24" customHeight="1">
      <x:c r="A8" s="15" t="n">
        <x:f>'設定'!B16</x:f>
        <x:v>46266</x:v>
      </x:c>
      <x:c r="B8" s="2" t="n">
        <x:f>1</x:f>
        <x:v>1</x:v>
      </x:c>
      <x:c r="C8" s="2" t="str">
        <x:f>"早"</x:f>
        <x:v>早</x:v>
      </x:c>
      <x:c r="D8" s="2" t="n">
        <x:f>IF(AND('設定'!$B$21="入力OK",'設定'!B16&lt;&gt;"",'設定'!B17&gt;=1),1,0)</x:f>
        <x:v>1</x:v>
      </x:c>
      <x:c r="E8" s="2" t="str">
        <x:f>IF(D8=0,"",IF(F8=0,"不足",INDEX('設定'!$B$7:$B$12,F8)))</x:f>
        <x:v>スタッフF</x:v>
      </x:c>
      <x:c r="F8" s="2" t="n">
        <x:f>IF(D8=0,"",IF(MIN(G8:L8)&gt;=1000000,0,MATCH(MIN(G8:L8),G8:L8,0)))</x:f>
        <x:v>6</x:v>
      </x:c>
      <x:c r="G8" s="2" t="n">
        <x:f>IF(OR($D8=0,INDEX('希望休'!$B$7:$AF$12,1,$B8)&lt;&gt;"可",COUNTIFS($A$7:A7,$A8,$F$7:F7,1)&gt;0,COUNTIF($F$7:F7,1)&gt;='設定'!C7,'設定'!E7&gt;='設定'!D7),1000000,COUNTIF($F$7:F7,1)*100+MOD(0+1+'設定'!$F$3,6))</x:f>
        <x:v>1000000</x:v>
      </x:c>
      <x:c r="H8" s="2" t="n">
        <x:f>IF(OR($D8=0,INDEX('希望休'!$B$7:$AF$12,2,$B8)&lt;&gt;"可",COUNTIFS($A$7:A7,$A8,$F$7:F7,2)&gt;0,COUNTIF($F$7:F7,2)&gt;='設定'!C8,'設定'!E8&gt;='設定'!D8),1000000,COUNTIF($F$7:F7,2)*100+MOD(1+1+'設定'!$F$3,6))</x:f>
        <x:v>2</x:v>
      </x:c>
      <x:c r="I8" s="2" t="n">
        <x:f>IF(OR($D8=0,INDEX('希望休'!$B$7:$AF$12,3,$B8)&lt;&gt;"可",COUNTIFS($A$7:A7,$A8,$F$7:F7,3)&gt;0,COUNTIF($F$7:F7,3)&gt;='設定'!C9,'設定'!E9&gt;='設定'!D9),1000000,COUNTIF($F$7:F7,3)*100+MOD(2+1+'設定'!$F$3,6))</x:f>
        <x:v>3</x:v>
      </x:c>
      <x:c r="J8" s="2" t="n">
        <x:f>IF(OR($D8=0,INDEX('希望休'!$B$7:$AF$12,4,$B8)&lt;&gt;"可",COUNTIFS($A$7:A7,$A8,$F$7:F7,4)&gt;0,COUNTIF($F$7:F7,4)&gt;='設定'!C10,'設定'!E10&gt;='設定'!D10),1000000,COUNTIF($F$7:F7,4)*100+MOD(3+1+'設定'!$F$3,6))</x:f>
        <x:v>4</x:v>
      </x:c>
      <x:c r="K8" s="2" t="n">
        <x:f>IF(OR($D8=0,INDEX('希望休'!$B$7:$AF$12,5,$B8)&lt;&gt;"可",COUNTIFS($A$7:A7,$A8,$F$7:F7,5)&gt;0,COUNTIF($F$7:F7,5)&gt;='設定'!C11,'設定'!E11&gt;='設定'!D11),1000000,COUNTIF($F$7:F7,5)*100+MOD(4+1+'設定'!$F$3,6))</x:f>
        <x:v>5</x:v>
      </x:c>
      <x:c r="L8" s="2" t="n">
        <x:f>IF(OR($D8=0,INDEX('希望休'!$B$7:$AF$12,6,$B8)&lt;&gt;"可",COUNTIFS($A$7:A7,$A8,$F$7:F7,6)&gt;0,COUNTIF($F$7:F7,6)&gt;='設定'!C12,'設定'!E12&gt;='設定'!D12),1000000,COUNTIF($F$7:F7,6)*100+MOD(5+1+'設定'!$F$3,6))</x:f>
        <x:v>0</x:v>
      </x:c>
      <x:c r="M8" s="2" t="n">
        <x:f>IF($A8="",0,IF(COUNTIF($F$8:F8,1)&gt;0,'設定'!E7+1,0))</x:f>
        <x:v>0</x:v>
      </x:c>
      <x:c r="N8" s="2" t="n">
        <x:f>IF($A8="",0,IF(COUNTIF($F$8:F8,2)&gt;0,'設定'!E8+1,0))</x:f>
        <x:v>0</x:v>
      </x:c>
      <x:c r="O8" s="2" t="n">
        <x:f>IF($A8="",0,IF(COUNTIF($F$8:F8,3)&gt;0,'設定'!E9+1,0))</x:f>
        <x:v>0</x:v>
      </x:c>
      <x:c r="P8" s="2" t="n">
        <x:f>IF($A8="",0,IF(COUNTIF($F$8:F8,4)&gt;0,'設定'!E10+1,0))</x:f>
        <x:v>0</x:v>
      </x:c>
      <x:c r="Q8" s="2" t="n">
        <x:f>IF($A8="",0,IF(COUNTIF($F$8:F8,5)&gt;0,'設定'!E11+1,0))</x:f>
        <x:v>0</x:v>
      </x:c>
      <x:c r="R8" s="2" t="n">
        <x:f>IF($A8="",0,IF(COUNTIF($F$8:F8,6)&gt;0,'設定'!E12+1,0))</x:f>
        <x:v>1</x:v>
      </x:c>
    </x:row>
    <x:row r="9" ht="24" customHeight="1">
      <x:c r="A9" s="15" t="n">
        <x:f>'設定'!B16</x:f>
        <x:v>46266</x:v>
      </x:c>
      <x:c r="B9" s="2" t="n">
        <x:f>1</x:f>
        <x:v>1</x:v>
      </x:c>
      <x:c r="C9" s="2" t="str">
        <x:f>"早"</x:f>
        <x:v>早</x:v>
      </x:c>
      <x:c r="D9" s="2" t="n">
        <x:f>IF(AND('設定'!$B$21="入力OK",'設定'!B16&lt;&gt;"",'設定'!B17&gt;=2),1,0)</x:f>
        <x:v>1</x:v>
      </x:c>
      <x:c r="E9" s="2" t="str">
        <x:f>IF(D9=0,"",IF(F9=0,"不足",INDEX('設定'!$B$7:$B$12,F9)))</x:f>
        <x:v>スタッフB</x:v>
      </x:c>
      <x:c r="F9" s="2" t="n">
        <x:f>IF(D9=0,"",IF(MIN(G9:L9)&gt;=1000000,0,MATCH(MIN(G9:L9),G9:L9,0)))</x:f>
        <x:v>2</x:v>
      </x:c>
      <x:c r="G9" s="2" t="n">
        <x:f>IF(OR($D9=0,INDEX('希望休'!$B$7:$AF$12,1,$B9)&lt;&gt;"可",COUNTIFS($A$7:A8,$A9,$F$7:F8,1)&gt;0,COUNTIF($F$7:F8,1)&gt;='設定'!C7,'設定'!E7&gt;='設定'!D7),1000000,COUNTIF($F$7:F8,1)*100+MOD(0+1+'設定'!$F$3,6))</x:f>
        <x:v>1000000</x:v>
      </x:c>
      <x:c r="H9" s="2" t="n">
        <x:f>IF(OR($D9=0,INDEX('希望休'!$B$7:$AF$12,2,$B9)&lt;&gt;"可",COUNTIFS($A$7:A8,$A9,$F$7:F8,2)&gt;0,COUNTIF($F$7:F8,2)&gt;='設定'!C8,'設定'!E8&gt;='設定'!D8),1000000,COUNTIF($F$7:F8,2)*100+MOD(1+1+'設定'!$F$3,6))</x:f>
        <x:v>2</x:v>
      </x:c>
      <x:c r="I9" s="2" t="n">
        <x:f>IF(OR($D9=0,INDEX('希望休'!$B$7:$AF$12,3,$B9)&lt;&gt;"可",COUNTIFS($A$7:A8,$A9,$F$7:F8,3)&gt;0,COUNTIF($F$7:F8,3)&gt;='設定'!C9,'設定'!E9&gt;='設定'!D9),1000000,COUNTIF($F$7:F8,3)*100+MOD(2+1+'設定'!$F$3,6))</x:f>
        <x:v>3</x:v>
      </x:c>
      <x:c r="J9" s="2" t="n">
        <x:f>IF(OR($D9=0,INDEX('希望休'!$B$7:$AF$12,4,$B9)&lt;&gt;"可",COUNTIFS($A$7:A8,$A9,$F$7:F8,4)&gt;0,COUNTIF($F$7:F8,4)&gt;='設定'!C10,'設定'!E10&gt;='設定'!D10),1000000,COUNTIF($F$7:F8,4)*100+MOD(3+1+'設定'!$F$3,6))</x:f>
        <x:v>4</x:v>
      </x:c>
      <x:c r="K9" s="2" t="n">
        <x:f>IF(OR($D9=0,INDEX('希望休'!$B$7:$AF$12,5,$B9)&lt;&gt;"可",COUNTIFS($A$7:A8,$A9,$F$7:F8,5)&gt;0,COUNTIF($F$7:F8,5)&gt;='設定'!C11,'設定'!E11&gt;='設定'!D11),1000000,COUNTIF($F$7:F8,5)*100+MOD(4+1+'設定'!$F$3,6))</x:f>
        <x:v>5</x:v>
      </x:c>
      <x:c r="L9" s="2" t="n">
        <x:f>IF(OR($D9=0,INDEX('希望休'!$B$7:$AF$12,6,$B9)&lt;&gt;"可",COUNTIFS($A$7:A8,$A9,$F$7:F8,6)&gt;0,COUNTIF($F$7:F8,6)&gt;='設定'!C12,'設定'!E12&gt;='設定'!D12),1000000,COUNTIF($F$7:F8,6)*100+MOD(5+1+'設定'!$F$3,6))</x:f>
        <x:v>1000000</x:v>
      </x:c>
      <x:c r="M9" s="2" t="n">
        <x:f>IF($A9="",0,IF(COUNTIF($F$8:F9,1)&gt;0,'設定'!E7+1,0))</x:f>
        <x:v>0</x:v>
      </x:c>
      <x:c r="N9" s="2" t="n">
        <x:f>IF($A9="",0,IF(COUNTIF($F$8:F9,2)&gt;0,'設定'!E8+1,0))</x:f>
        <x:v>1</x:v>
      </x:c>
      <x:c r="O9" s="2" t="n">
        <x:f>IF($A9="",0,IF(COUNTIF($F$8:F9,3)&gt;0,'設定'!E9+1,0))</x:f>
        <x:v>0</x:v>
      </x:c>
      <x:c r="P9" s="2" t="n">
        <x:f>IF($A9="",0,IF(COUNTIF($F$8:F9,4)&gt;0,'設定'!E10+1,0))</x:f>
        <x:v>0</x:v>
      </x:c>
      <x:c r="Q9" s="2" t="n">
        <x:f>IF($A9="",0,IF(COUNTIF($F$8:F9,5)&gt;0,'設定'!E11+1,0))</x:f>
        <x:v>0</x:v>
      </x:c>
      <x:c r="R9" s="2" t="n">
        <x:f>IF($A9="",0,IF(COUNTIF($F$8:F9,6)&gt;0,'設定'!E12+1,0))</x:f>
        <x:v>1</x:v>
      </x:c>
    </x:row>
    <x:row r="10" ht="24" customHeight="1">
      <x:c r="A10" s="15" t="n">
        <x:f>'設定'!B16</x:f>
        <x:v>46266</x:v>
      </x:c>
      <x:c r="B10" s="2" t="n">
        <x:f>1</x:f>
        <x:v>1</x:v>
      </x:c>
      <x:c r="C10" s="2" t="str">
        <x:f>"遅"</x:f>
        <x:v>遅</x:v>
      </x:c>
      <x:c r="D10" s="2" t="n">
        <x:f>IF(AND('設定'!$B$21="入力OK",'設定'!B16&lt;&gt;"",'設定'!B18&gt;=1),1,0)</x:f>
        <x:v>1</x:v>
      </x:c>
      <x:c r="E10" s="2" t="str">
        <x:f>IF(D10=0,"",IF(F10=0,"不足",INDEX('設定'!$B$7:$B$12,F10)))</x:f>
        <x:v>スタッフC</x:v>
      </x:c>
      <x:c r="F10" s="2" t="n">
        <x:f>IF(D10=0,"",IF(MIN(G10:L10)&gt;=1000000,0,MATCH(MIN(G10:L10),G10:L10,0)))</x:f>
        <x:v>3</x:v>
      </x:c>
      <x:c r="G10" s="2" t="n">
        <x:f>IF(OR($D10=0,INDEX('希望休'!$B$7:$AF$12,1,$B10)&lt;&gt;"可",COUNTIFS($A$7:A9,$A10,$F$7:F9,1)&gt;0,COUNTIF($F$7:F9,1)&gt;='設定'!C7,'設定'!E7&gt;='設定'!D7),1000000,COUNTIF($F$7:F9,1)*100+MOD(0+1+'設定'!$F$3,6))</x:f>
        <x:v>1000000</x:v>
      </x:c>
      <x:c r="H10" s="2" t="n">
        <x:f>IF(OR($D10=0,INDEX('希望休'!$B$7:$AF$12,2,$B10)&lt;&gt;"可",COUNTIFS($A$7:A9,$A10,$F$7:F9,2)&gt;0,COUNTIF($F$7:F9,2)&gt;='設定'!C8,'設定'!E8&gt;='設定'!D8),1000000,COUNTIF($F$7:F9,2)*100+MOD(1+1+'設定'!$F$3,6))</x:f>
        <x:v>1000000</x:v>
      </x:c>
      <x:c r="I10" s="2" t="n">
        <x:f>IF(OR($D10=0,INDEX('希望休'!$B$7:$AF$12,3,$B10)&lt;&gt;"可",COUNTIFS($A$7:A9,$A10,$F$7:F9,3)&gt;0,COUNTIF($F$7:F9,3)&gt;='設定'!C9,'設定'!E9&gt;='設定'!D9),1000000,COUNTIF($F$7:F9,3)*100+MOD(2+1+'設定'!$F$3,6))</x:f>
        <x:v>3</x:v>
      </x:c>
      <x:c r="J10" s="2" t="n">
        <x:f>IF(OR($D10=0,INDEX('希望休'!$B$7:$AF$12,4,$B10)&lt;&gt;"可",COUNTIFS($A$7:A9,$A10,$F$7:F9,4)&gt;0,COUNTIF($F$7:F9,4)&gt;='設定'!C10,'設定'!E10&gt;='設定'!D10),1000000,COUNTIF($F$7:F9,4)*100+MOD(3+1+'設定'!$F$3,6))</x:f>
        <x:v>4</x:v>
      </x:c>
      <x:c r="K10" s="2" t="n">
        <x:f>IF(OR($D10=0,INDEX('希望休'!$B$7:$AF$12,5,$B10)&lt;&gt;"可",COUNTIFS($A$7:A9,$A10,$F$7:F9,5)&gt;0,COUNTIF($F$7:F9,5)&gt;='設定'!C11,'設定'!E11&gt;='設定'!D11),1000000,COUNTIF($F$7:F9,5)*100+MOD(4+1+'設定'!$F$3,6))</x:f>
        <x:v>5</x:v>
      </x:c>
      <x:c r="L10" s="2" t="n">
        <x:f>IF(OR($D10=0,INDEX('希望休'!$B$7:$AF$12,6,$B10)&lt;&gt;"可",COUNTIFS($A$7:A9,$A10,$F$7:F9,6)&gt;0,COUNTIF($F$7:F9,6)&gt;='設定'!C12,'設定'!E12&gt;='設定'!D12),1000000,COUNTIF($F$7:F9,6)*100+MOD(5+1+'設定'!$F$3,6))</x:f>
        <x:v>1000000</x:v>
      </x:c>
      <x:c r="M10" s="2" t="n">
        <x:f>IF($A10="",0,IF(COUNTIF($F$8:F10,1)&gt;0,'設定'!E7+1,0))</x:f>
        <x:v>0</x:v>
      </x:c>
      <x:c r="N10" s="2" t="n">
        <x:f>IF($A10="",0,IF(COUNTIF($F$8:F10,2)&gt;0,'設定'!E8+1,0))</x:f>
        <x:v>1</x:v>
      </x:c>
      <x:c r="O10" s="2" t="n">
        <x:f>IF($A10="",0,IF(COUNTIF($F$8:F10,3)&gt;0,'設定'!E9+1,0))</x:f>
        <x:v>1</x:v>
      </x:c>
      <x:c r="P10" s="2" t="n">
        <x:f>IF($A10="",0,IF(COUNTIF($F$8:F10,4)&gt;0,'設定'!E10+1,0))</x:f>
        <x:v>0</x:v>
      </x:c>
      <x:c r="Q10" s="2" t="n">
        <x:f>IF($A10="",0,IF(COUNTIF($F$8:F10,5)&gt;0,'設定'!E11+1,0))</x:f>
        <x:v>0</x:v>
      </x:c>
      <x:c r="R10" s="2" t="n">
        <x:f>IF($A10="",0,IF(COUNTIF($F$8:F10,6)&gt;0,'設定'!E12+1,0))</x:f>
        <x:v>1</x:v>
      </x:c>
    </x:row>
    <x:row r="11" ht="24" customHeight="1">
      <x:c r="A11" s="15" t="n">
        <x:f>'設定'!B16</x:f>
        <x:v>46266</x:v>
      </x:c>
      <x:c r="B11" s="2" t="n">
        <x:f>1</x:f>
        <x:v>1</x:v>
      </x:c>
      <x:c r="C11" s="2" t="str">
        <x:f>"遅"</x:f>
        <x:v>遅</x:v>
      </x:c>
      <x:c r="D11" s="2" t="n">
        <x:f>IF(AND('設定'!$B$21="入力OK",'設定'!B16&lt;&gt;"",'設定'!B18&gt;=2),1,0)</x:f>
        <x:v>1</x:v>
      </x:c>
      <x:c r="E11" s="2" t="str">
        <x:f>IF(D11=0,"",IF(F11=0,"不足",INDEX('設定'!$B$7:$B$12,F11)))</x:f>
        <x:v>スタッフD</x:v>
      </x:c>
      <x:c r="F11" s="2" t="n">
        <x:f>IF(D11=0,"",IF(MIN(G11:L11)&gt;=1000000,0,MATCH(MIN(G11:L11),G11:L11,0)))</x:f>
        <x:v>4</x:v>
      </x:c>
      <x:c r="G11" s="2" t="n">
        <x:f>IF(OR($D11=0,INDEX('希望休'!$B$7:$AF$12,1,$B11)&lt;&gt;"可",COUNTIFS($A$7:A10,$A11,$F$7:F10,1)&gt;0,COUNTIF($F$7:F10,1)&gt;='設定'!C7,'設定'!E7&gt;='設定'!D7),1000000,COUNTIF($F$7:F10,1)*100+MOD(0+1+'設定'!$F$3,6))</x:f>
        <x:v>1000000</x:v>
      </x:c>
      <x:c r="H11" s="2" t="n">
        <x:f>IF(OR($D11=0,INDEX('希望休'!$B$7:$AF$12,2,$B11)&lt;&gt;"可",COUNTIFS($A$7:A10,$A11,$F$7:F10,2)&gt;0,COUNTIF($F$7:F10,2)&gt;='設定'!C8,'設定'!E8&gt;='設定'!D8),1000000,COUNTIF($F$7:F10,2)*100+MOD(1+1+'設定'!$F$3,6))</x:f>
        <x:v>1000000</x:v>
      </x:c>
      <x:c r="I11" s="2" t="n">
        <x:f>IF(OR($D11=0,INDEX('希望休'!$B$7:$AF$12,3,$B11)&lt;&gt;"可",COUNTIFS($A$7:A10,$A11,$F$7:F10,3)&gt;0,COUNTIF($F$7:F10,3)&gt;='設定'!C9,'設定'!E9&gt;='設定'!D9),1000000,COUNTIF($F$7:F10,3)*100+MOD(2+1+'設定'!$F$3,6))</x:f>
        <x:v>1000000</x:v>
      </x:c>
      <x:c r="J11" s="2" t="n">
        <x:f>IF(OR($D11=0,INDEX('希望休'!$B$7:$AF$12,4,$B11)&lt;&gt;"可",COUNTIFS($A$7:A10,$A11,$F$7:F10,4)&gt;0,COUNTIF($F$7:F10,4)&gt;='設定'!C10,'設定'!E10&gt;='設定'!D10),1000000,COUNTIF($F$7:F10,4)*100+MOD(3+1+'設定'!$F$3,6))</x:f>
        <x:v>4</x:v>
      </x:c>
      <x:c r="K11" s="2" t="n">
        <x:f>IF(OR($D11=0,INDEX('希望休'!$B$7:$AF$12,5,$B11)&lt;&gt;"可",COUNTIFS($A$7:A10,$A11,$F$7:F10,5)&gt;0,COUNTIF($F$7:F10,5)&gt;='設定'!C11,'設定'!E11&gt;='設定'!D11),1000000,COUNTIF($F$7:F10,5)*100+MOD(4+1+'設定'!$F$3,6))</x:f>
        <x:v>5</x:v>
      </x:c>
      <x:c r="L11" s="2" t="n">
        <x:f>IF(OR($D11=0,INDEX('希望休'!$B$7:$AF$12,6,$B11)&lt;&gt;"可",COUNTIFS($A$7:A10,$A11,$F$7:F10,6)&gt;0,COUNTIF($F$7:F10,6)&gt;='設定'!C12,'設定'!E12&gt;='設定'!D12),1000000,COUNTIF($F$7:F10,6)*100+MOD(5+1+'設定'!$F$3,6))</x:f>
        <x:v>1000000</x:v>
      </x:c>
      <x:c r="M11" s="2" t="n">
        <x:f>IF($A11="",0,IF(COUNTIF($F$8:F11,1)&gt;0,'設定'!E7+1,0))</x:f>
        <x:v>0</x:v>
      </x:c>
      <x:c r="N11" s="2" t="n">
        <x:f>IF($A11="",0,IF(COUNTIF($F$8:F11,2)&gt;0,'設定'!E8+1,0))</x:f>
        <x:v>1</x:v>
      </x:c>
      <x:c r="O11" s="2" t="n">
        <x:f>IF($A11="",0,IF(COUNTIF($F$8:F11,3)&gt;0,'設定'!E9+1,0))</x:f>
        <x:v>1</x:v>
      </x:c>
      <x:c r="P11" s="2" t="n">
        <x:f>IF($A11="",0,IF(COUNTIF($F$8:F11,4)&gt;0,'設定'!E10+1,0))</x:f>
        <x:v>1</x:v>
      </x:c>
      <x:c r="Q11" s="2" t="n">
        <x:f>IF($A11="",0,IF(COUNTIF($F$8:F11,5)&gt;0,'設定'!E11+1,0))</x:f>
        <x:v>0</x:v>
      </x:c>
      <x:c r="R11" s="2" t="n">
        <x:f>IF($A11="",0,IF(COUNTIF($F$8:F11,6)&gt;0,'設定'!E12+1,0))</x:f>
        <x:v>1</x:v>
      </x:c>
    </x:row>
    <x:row r="12" ht="24" customHeight="1">
      <x:c r="A12" s="15" t="n">
        <x:f>'設定'!C16</x:f>
        <x:v>46267</x:v>
      </x:c>
      <x:c r="B12" s="2" t="n">
        <x:f>2</x:f>
        <x:v>2</x:v>
      </x:c>
      <x:c r="C12" s="2" t="str">
        <x:f>"早"</x:f>
        <x:v>早</x:v>
      </x:c>
      <x:c r="D12" s="2" t="n">
        <x:f>IF(AND('設定'!$B$21="入力OK",'設定'!C16&lt;&gt;"",'設定'!C17&gt;=1),1,0)</x:f>
        <x:v>1</x:v>
      </x:c>
      <x:c r="E12" s="2" t="str">
        <x:f>IF(D12=0,"",IF(F12=0,"不足",INDEX('設定'!$B$7:$B$12,F12)))</x:f>
        <x:v>スタッフE</x:v>
      </x:c>
      <x:c r="F12" s="2" t="n">
        <x:f>IF(D12=0,"",IF(MIN(G12:L12)&gt;=1000000,0,MATCH(MIN(G12:L12),G12:L12,0)))</x:f>
        <x:v>5</x:v>
      </x:c>
      <x:c r="G12" s="2" t="n">
        <x:f>IF(OR($D12=0,INDEX('希望休'!$B$7:$AF$12,1,$B12)&lt;&gt;"可",COUNTIFS($A$7:A11,$A12,$F$7:F11,1)&gt;0,COUNTIF($F$7:F11,1)&gt;='設定'!C7,M11&gt;='設定'!D7),1000000,COUNTIF($F$7:F11,1)*100+MOD(0+2+'設定'!$F$3,6))</x:f>
        <x:v>2</x:v>
      </x:c>
      <x:c r="H12" s="2" t="n">
        <x:f>IF(OR($D12=0,INDEX('希望休'!$B$7:$AF$12,2,$B12)&lt;&gt;"可",COUNTIFS($A$7:A11,$A12,$F$7:F11,2)&gt;0,COUNTIF($F$7:F11,2)&gt;='設定'!C8,N11&gt;='設定'!D8),1000000,COUNTIF($F$7:F11,2)*100+MOD(1+2+'設定'!$F$3,6))</x:f>
        <x:v>1000000</x:v>
      </x:c>
      <x:c r="I12" s="2" t="n">
        <x:f>IF(OR($D12=0,INDEX('希望休'!$B$7:$AF$12,3,$B12)&lt;&gt;"可",COUNTIFS($A$7:A11,$A12,$F$7:F11,3)&gt;0,COUNTIF($F$7:F11,3)&gt;='設定'!C9,O11&gt;='設定'!D9),1000000,COUNTIF($F$7:F11,3)*100+MOD(2+2+'設定'!$F$3,6))</x:f>
        <x:v>104</x:v>
      </x:c>
      <x:c r="J12" s="2" t="n">
        <x:f>IF(OR($D12=0,INDEX('希望休'!$B$7:$AF$12,4,$B12)&lt;&gt;"可",COUNTIFS($A$7:A11,$A12,$F$7:F11,4)&gt;0,COUNTIF($F$7:F11,4)&gt;='設定'!C10,P11&gt;='設定'!D10),1000000,COUNTIF($F$7:F11,4)*100+MOD(3+2+'設定'!$F$3,6))</x:f>
        <x:v>105</x:v>
      </x:c>
      <x:c r="K12" s="2" t="n">
        <x:f>IF(OR($D12=0,INDEX('希望休'!$B$7:$AF$12,5,$B12)&lt;&gt;"可",COUNTIFS($A$7:A11,$A12,$F$7:F11,5)&gt;0,COUNTIF($F$7:F11,5)&gt;='設定'!C11,Q11&gt;='設定'!D11),1000000,COUNTIF($F$7:F11,5)*100+MOD(4+2+'設定'!$F$3,6))</x:f>
        <x:v>0</x:v>
      </x:c>
      <x:c r="L12" s="2" t="n">
        <x:f>IF(OR($D12=0,INDEX('希望休'!$B$7:$AF$12,6,$B12)&lt;&gt;"可",COUNTIFS($A$7:A11,$A12,$F$7:F11,6)&gt;0,COUNTIF($F$7:F11,6)&gt;='設定'!C12,R11&gt;='設定'!D12),1000000,COUNTIF($F$7:F11,6)*100+MOD(5+2+'設定'!$F$3,6))</x:f>
        <x:v>101</x:v>
      </x:c>
      <x:c r="M12" s="2" t="n">
        <x:f>IF($A12="",0,IF(COUNTIF($F$12:F12,1)&gt;0,M11+1,0))</x:f>
        <x:v>0</x:v>
      </x:c>
      <x:c r="N12" s="2" t="n">
        <x:f>IF($A12="",0,IF(COUNTIF($F$12:F12,2)&gt;0,N11+1,0))</x:f>
        <x:v>0</x:v>
      </x:c>
      <x:c r="O12" s="2" t="n">
        <x:f>IF($A12="",0,IF(COUNTIF($F$12:F12,3)&gt;0,O11+1,0))</x:f>
        <x:v>0</x:v>
      </x:c>
      <x:c r="P12" s="2" t="n">
        <x:f>IF($A12="",0,IF(COUNTIF($F$12:F12,4)&gt;0,P11+1,0))</x:f>
        <x:v>0</x:v>
      </x:c>
      <x:c r="Q12" s="2" t="n">
        <x:f>IF($A12="",0,IF(COUNTIF($F$12:F12,5)&gt;0,Q11+1,0))</x:f>
        <x:v>1</x:v>
      </x:c>
      <x:c r="R12" s="2" t="n">
        <x:f>IF($A12="",0,IF(COUNTIF($F$12:F12,6)&gt;0,R11+1,0))</x:f>
        <x:v>0</x:v>
      </x:c>
    </x:row>
    <x:row r="13" ht="24" customHeight="1">
      <x:c r="A13" s="15" t="n">
        <x:f>'設定'!C16</x:f>
        <x:v>46267</x:v>
      </x:c>
      <x:c r="B13" s="2" t="n">
        <x:f>2</x:f>
        <x:v>2</x:v>
      </x:c>
      <x:c r="C13" s="2" t="str">
        <x:f>"早"</x:f>
        <x:v>早</x:v>
      </x:c>
      <x:c r="D13" s="2" t="n">
        <x:f>IF(AND('設定'!$B$21="入力OK",'設定'!C16&lt;&gt;"",'設定'!C17&gt;=2),1,0)</x:f>
        <x:v>1</x:v>
      </x:c>
      <x:c r="E13" s="2" t="str">
        <x:f>IF(D13=0,"",IF(F13=0,"不足",INDEX('設定'!$B$7:$B$12,F13)))</x:f>
        <x:v>スタッフA</x:v>
      </x:c>
      <x:c r="F13" s="2" t="n">
        <x:f>IF(D13=0,"",IF(MIN(G13:L13)&gt;=1000000,0,MATCH(MIN(G13:L13),G13:L13,0)))</x:f>
        <x:v>1</x:v>
      </x:c>
      <x:c r="G13" s="2" t="n">
        <x:f>IF(OR($D13=0,INDEX('希望休'!$B$7:$AF$12,1,$B13)&lt;&gt;"可",COUNTIFS($A$7:A12,$A13,$F$7:F12,1)&gt;0,COUNTIF($F$7:F12,1)&gt;='設定'!C7,M11&gt;='設定'!D7),1000000,COUNTIF($F$7:F12,1)*100+MOD(0+2+'設定'!$F$3,6))</x:f>
        <x:v>2</x:v>
      </x:c>
      <x:c r="H13" s="2" t="n">
        <x:f>IF(OR($D13=0,INDEX('希望休'!$B$7:$AF$12,2,$B13)&lt;&gt;"可",COUNTIFS($A$7:A12,$A13,$F$7:F12,2)&gt;0,COUNTIF($F$7:F12,2)&gt;='設定'!C8,N11&gt;='設定'!D8),1000000,COUNTIF($F$7:F12,2)*100+MOD(1+2+'設定'!$F$3,6))</x:f>
        <x:v>1000000</x:v>
      </x:c>
      <x:c r="I13" s="2" t="n">
        <x:f>IF(OR($D13=0,INDEX('希望休'!$B$7:$AF$12,3,$B13)&lt;&gt;"可",COUNTIFS($A$7:A12,$A13,$F$7:F12,3)&gt;0,COUNTIF($F$7:F12,3)&gt;='設定'!C9,O11&gt;='設定'!D9),1000000,COUNTIF($F$7:F12,3)*100+MOD(2+2+'設定'!$F$3,6))</x:f>
        <x:v>104</x:v>
      </x:c>
      <x:c r="J13" s="2" t="n">
        <x:f>IF(OR($D13=0,INDEX('希望休'!$B$7:$AF$12,4,$B13)&lt;&gt;"可",COUNTIFS($A$7:A12,$A13,$F$7:F12,4)&gt;0,COUNTIF($F$7:F12,4)&gt;='設定'!C10,P11&gt;='設定'!D10),1000000,COUNTIF($F$7:F12,4)*100+MOD(3+2+'設定'!$F$3,6))</x:f>
        <x:v>105</x:v>
      </x:c>
      <x:c r="K13" s="2" t="n">
        <x:f>IF(OR($D13=0,INDEX('希望休'!$B$7:$AF$12,5,$B13)&lt;&gt;"可",COUNTIFS($A$7:A12,$A13,$F$7:F12,5)&gt;0,COUNTIF($F$7:F12,5)&gt;='設定'!C11,Q11&gt;='設定'!D11),1000000,COUNTIF($F$7:F12,5)*100+MOD(4+2+'設定'!$F$3,6))</x:f>
        <x:v>1000000</x:v>
      </x:c>
      <x:c r="L13" s="2" t="n">
        <x:f>IF(OR($D13=0,INDEX('希望休'!$B$7:$AF$12,6,$B13)&lt;&gt;"可",COUNTIFS($A$7:A12,$A13,$F$7:F12,6)&gt;0,COUNTIF($F$7:F12,6)&gt;='設定'!C12,R11&gt;='設定'!D12),1000000,COUNTIF($F$7:F12,6)*100+MOD(5+2+'設定'!$F$3,6))</x:f>
        <x:v>101</x:v>
      </x:c>
      <x:c r="M13" s="2" t="n">
        <x:f>IF($A13="",0,IF(COUNTIF($F$12:F13,1)&gt;0,M11+1,0))</x:f>
        <x:v>1</x:v>
      </x:c>
      <x:c r="N13" s="2" t="n">
        <x:f>IF($A13="",0,IF(COUNTIF($F$12:F13,2)&gt;0,N11+1,0))</x:f>
        <x:v>0</x:v>
      </x:c>
      <x:c r="O13" s="2" t="n">
        <x:f>IF($A13="",0,IF(COUNTIF($F$12:F13,3)&gt;0,O11+1,0))</x:f>
        <x:v>0</x:v>
      </x:c>
      <x:c r="P13" s="2" t="n">
        <x:f>IF($A13="",0,IF(COUNTIF($F$12:F13,4)&gt;0,P11+1,0))</x:f>
        <x:v>0</x:v>
      </x:c>
      <x:c r="Q13" s="2" t="n">
        <x:f>IF($A13="",0,IF(COUNTIF($F$12:F13,5)&gt;0,Q11+1,0))</x:f>
        <x:v>1</x:v>
      </x:c>
      <x:c r="R13" s="2" t="n">
        <x:f>IF($A13="",0,IF(COUNTIF($F$12:F13,6)&gt;0,R11+1,0))</x:f>
        <x:v>0</x:v>
      </x:c>
    </x:row>
    <x:row r="14" ht="24" customHeight="1">
      <x:c r="A14" s="15" t="n">
        <x:f>'設定'!C16</x:f>
        <x:v>46267</x:v>
      </x:c>
      <x:c r="B14" s="2" t="n">
        <x:f>2</x:f>
        <x:v>2</x:v>
      </x:c>
      <x:c r="C14" s="2" t="str">
        <x:f>"遅"</x:f>
        <x:v>遅</x:v>
      </x:c>
      <x:c r="D14" s="2" t="n">
        <x:f>IF(AND('設定'!$B$21="入力OK",'設定'!C16&lt;&gt;"",'設定'!C18&gt;=1),1,0)</x:f>
        <x:v>1</x:v>
      </x:c>
      <x:c r="E14" s="2" t="str">
        <x:f>IF(D14=0,"",IF(F14=0,"不足",INDEX('設定'!$B$7:$B$12,F14)))</x:f>
        <x:v>スタッフF</x:v>
      </x:c>
      <x:c r="F14" s="2" t="n">
        <x:f>IF(D14=0,"",IF(MIN(G14:L14)&gt;=1000000,0,MATCH(MIN(G14:L14),G14:L14,0)))</x:f>
        <x:v>6</x:v>
      </x:c>
      <x:c r="G14" s="2" t="n">
        <x:f>IF(OR($D14=0,INDEX('希望休'!$B$7:$AF$12,1,$B14)&lt;&gt;"可",COUNTIFS($A$7:A13,$A14,$F$7:F13,1)&gt;0,COUNTIF($F$7:F13,1)&gt;='設定'!C7,M11&gt;='設定'!D7),1000000,COUNTIF($F$7:F13,1)*100+MOD(0+2+'設定'!$F$3,6))</x:f>
        <x:v>1000000</x:v>
      </x:c>
      <x:c r="H14" s="2" t="n">
        <x:f>IF(OR($D14=0,INDEX('希望休'!$B$7:$AF$12,2,$B14)&lt;&gt;"可",COUNTIFS($A$7:A13,$A14,$F$7:F13,2)&gt;0,COUNTIF($F$7:F13,2)&gt;='設定'!C8,N11&gt;='設定'!D8),1000000,COUNTIF($F$7:F13,2)*100+MOD(1+2+'設定'!$F$3,6))</x:f>
        <x:v>1000000</x:v>
      </x:c>
      <x:c r="I14" s="2" t="n">
        <x:f>IF(OR($D14=0,INDEX('希望休'!$B$7:$AF$12,3,$B14)&lt;&gt;"可",COUNTIFS($A$7:A13,$A14,$F$7:F13,3)&gt;0,COUNTIF($F$7:F13,3)&gt;='設定'!C9,O11&gt;='設定'!D9),1000000,COUNTIF($F$7:F13,3)*100+MOD(2+2+'設定'!$F$3,6))</x:f>
        <x:v>104</x:v>
      </x:c>
      <x:c r="J14" s="2" t="n">
        <x:f>IF(OR($D14=0,INDEX('希望休'!$B$7:$AF$12,4,$B14)&lt;&gt;"可",COUNTIFS($A$7:A13,$A14,$F$7:F13,4)&gt;0,COUNTIF($F$7:F13,4)&gt;='設定'!C10,P11&gt;='設定'!D10),1000000,COUNTIF($F$7:F13,4)*100+MOD(3+2+'設定'!$F$3,6))</x:f>
        <x:v>105</x:v>
      </x:c>
      <x:c r="K14" s="2" t="n">
        <x:f>IF(OR($D14=0,INDEX('希望休'!$B$7:$AF$12,5,$B14)&lt;&gt;"可",COUNTIFS($A$7:A13,$A14,$F$7:F13,5)&gt;0,COUNTIF($F$7:F13,5)&gt;='設定'!C11,Q11&gt;='設定'!D11),1000000,COUNTIF($F$7:F13,5)*100+MOD(4+2+'設定'!$F$3,6))</x:f>
        <x:v>1000000</x:v>
      </x:c>
      <x:c r="L14" s="2" t="n">
        <x:f>IF(OR($D14=0,INDEX('希望休'!$B$7:$AF$12,6,$B14)&lt;&gt;"可",COUNTIFS($A$7:A13,$A14,$F$7:F13,6)&gt;0,COUNTIF($F$7:F13,6)&gt;='設定'!C12,R11&gt;='設定'!D12),1000000,COUNTIF($F$7:F13,6)*100+MOD(5+2+'設定'!$F$3,6))</x:f>
        <x:v>101</x:v>
      </x:c>
      <x:c r="M14" s="2" t="n">
        <x:f>IF($A14="",0,IF(COUNTIF($F$12:F14,1)&gt;0,M11+1,0))</x:f>
        <x:v>1</x:v>
      </x:c>
      <x:c r="N14" s="2" t="n">
        <x:f>IF($A14="",0,IF(COUNTIF($F$12:F14,2)&gt;0,N11+1,0))</x:f>
        <x:v>0</x:v>
      </x:c>
      <x:c r="O14" s="2" t="n">
        <x:f>IF($A14="",0,IF(COUNTIF($F$12:F14,3)&gt;0,O11+1,0))</x:f>
        <x:v>0</x:v>
      </x:c>
      <x:c r="P14" s="2" t="n">
        <x:f>IF($A14="",0,IF(COUNTIF($F$12:F14,4)&gt;0,P11+1,0))</x:f>
        <x:v>0</x:v>
      </x:c>
      <x:c r="Q14" s="2" t="n">
        <x:f>IF($A14="",0,IF(COUNTIF($F$12:F14,5)&gt;0,Q11+1,0))</x:f>
        <x:v>1</x:v>
      </x:c>
      <x:c r="R14" s="2" t="n">
        <x:f>IF($A14="",0,IF(COUNTIF($F$12:F14,6)&gt;0,R11+1,0))</x:f>
        <x:v>2</x:v>
      </x:c>
    </x:row>
    <x:row r="15" ht="24" customHeight="1">
      <x:c r="A15" s="15" t="n">
        <x:f>'設定'!C16</x:f>
        <x:v>46267</x:v>
      </x:c>
      <x:c r="B15" s="2" t="n">
        <x:f>2</x:f>
        <x:v>2</x:v>
      </x:c>
      <x:c r="C15" s="2" t="str">
        <x:f>"遅"</x:f>
        <x:v>遅</x:v>
      </x:c>
      <x:c r="D15" s="2" t="n">
        <x:f>IF(AND('設定'!$B$21="入力OK",'設定'!C16&lt;&gt;"",'設定'!C18&gt;=2),1,0)</x:f>
        <x:v>1</x:v>
      </x:c>
      <x:c r="E15" s="2" t="str">
        <x:f>IF(D15=0,"",IF(F15=0,"不足",INDEX('設定'!$B$7:$B$12,F15)))</x:f>
        <x:v>スタッフC</x:v>
      </x:c>
      <x:c r="F15" s="2" t="n">
        <x:f>IF(D15=0,"",IF(MIN(G15:L15)&gt;=1000000,0,MATCH(MIN(G15:L15),G15:L15,0)))</x:f>
        <x:v>3</x:v>
      </x:c>
      <x:c r="G15" s="2" t="n">
        <x:f>IF(OR($D15=0,INDEX('希望休'!$B$7:$AF$12,1,$B15)&lt;&gt;"可",COUNTIFS($A$7:A14,$A15,$F$7:F14,1)&gt;0,COUNTIF($F$7:F14,1)&gt;='設定'!C7,M11&gt;='設定'!D7),1000000,COUNTIF($F$7:F14,1)*100+MOD(0+2+'設定'!$F$3,6))</x:f>
        <x:v>1000000</x:v>
      </x:c>
      <x:c r="H15" s="2" t="n">
        <x:f>IF(OR($D15=0,INDEX('希望休'!$B$7:$AF$12,2,$B15)&lt;&gt;"可",COUNTIFS($A$7:A14,$A15,$F$7:F14,2)&gt;0,COUNTIF($F$7:F14,2)&gt;='設定'!C8,N11&gt;='設定'!D8),1000000,COUNTIF($F$7:F14,2)*100+MOD(1+2+'設定'!$F$3,6))</x:f>
        <x:v>1000000</x:v>
      </x:c>
      <x:c r="I15" s="2" t="n">
        <x:f>IF(OR($D15=0,INDEX('希望休'!$B$7:$AF$12,3,$B15)&lt;&gt;"可",COUNTIFS($A$7:A14,$A15,$F$7:F14,3)&gt;0,COUNTIF($F$7:F14,3)&gt;='設定'!C9,O11&gt;='設定'!D9),1000000,COUNTIF($F$7:F14,3)*100+MOD(2+2+'設定'!$F$3,6))</x:f>
        <x:v>104</x:v>
      </x:c>
      <x:c r="J15" s="2" t="n">
        <x:f>IF(OR($D15=0,INDEX('希望休'!$B$7:$AF$12,4,$B15)&lt;&gt;"可",COUNTIFS($A$7:A14,$A15,$F$7:F14,4)&gt;0,COUNTIF($F$7:F14,4)&gt;='設定'!C10,P11&gt;='設定'!D10),1000000,COUNTIF($F$7:F14,4)*100+MOD(3+2+'設定'!$F$3,6))</x:f>
        <x:v>105</x:v>
      </x:c>
      <x:c r="K15" s="2" t="n">
        <x:f>IF(OR($D15=0,INDEX('希望休'!$B$7:$AF$12,5,$B15)&lt;&gt;"可",COUNTIFS($A$7:A14,$A15,$F$7:F14,5)&gt;0,COUNTIF($F$7:F14,5)&gt;='設定'!C11,Q11&gt;='設定'!D11),1000000,COUNTIF($F$7:F14,5)*100+MOD(4+2+'設定'!$F$3,6))</x:f>
        <x:v>1000000</x:v>
      </x:c>
      <x:c r="L15" s="2" t="n">
        <x:f>IF(OR($D15=0,INDEX('希望休'!$B$7:$AF$12,6,$B15)&lt;&gt;"可",COUNTIFS($A$7:A14,$A15,$F$7:F14,6)&gt;0,COUNTIF($F$7:F14,6)&gt;='設定'!C12,R11&gt;='設定'!D12),1000000,COUNTIF($F$7:F14,6)*100+MOD(5+2+'設定'!$F$3,6))</x:f>
        <x:v>1000000</x:v>
      </x:c>
      <x:c r="M15" s="2" t="n">
        <x:f>IF($A15="",0,IF(COUNTIF($F$12:F15,1)&gt;0,M11+1,0))</x:f>
        <x:v>1</x:v>
      </x:c>
      <x:c r="N15" s="2" t="n">
        <x:f>IF($A15="",0,IF(COUNTIF($F$12:F15,2)&gt;0,N11+1,0))</x:f>
        <x:v>0</x:v>
      </x:c>
      <x:c r="O15" s="2" t="n">
        <x:f>IF($A15="",0,IF(COUNTIF($F$12:F15,3)&gt;0,O11+1,0))</x:f>
        <x:v>2</x:v>
      </x:c>
      <x:c r="P15" s="2" t="n">
        <x:f>IF($A15="",0,IF(COUNTIF($F$12:F15,4)&gt;0,P11+1,0))</x:f>
        <x:v>0</x:v>
      </x:c>
      <x:c r="Q15" s="2" t="n">
        <x:f>IF($A15="",0,IF(COUNTIF($F$12:F15,5)&gt;0,Q11+1,0))</x:f>
        <x:v>1</x:v>
      </x:c>
      <x:c r="R15" s="2" t="n">
        <x:f>IF($A15="",0,IF(COUNTIF($F$12:F15,6)&gt;0,R11+1,0))</x:f>
        <x:v>2</x:v>
      </x:c>
    </x:row>
    <x:row r="16" ht="24" customHeight="1">
      <x:c r="A16" s="15" t="n">
        <x:f>'設定'!D16</x:f>
        <x:v>46268</x:v>
      </x:c>
      <x:c r="B16" s="2" t="n">
        <x:f>3</x:f>
        <x:v>3</x:v>
      </x:c>
      <x:c r="C16" s="2" t="str">
        <x:f>"早"</x:f>
        <x:v>早</x:v>
      </x:c>
      <x:c r="D16" s="2" t="n">
        <x:f>IF(AND('設定'!$B$21="入力OK",'設定'!D16&lt;&gt;"",'設定'!D17&gt;=1),1,0)</x:f>
        <x:v>1</x:v>
      </x:c>
      <x:c r="E16" s="2" t="str">
        <x:f>IF(D16=0,"",IF(F16=0,"不足",INDEX('設定'!$B$7:$B$12,F16)))</x:f>
        <x:v>スタッフD</x:v>
      </x:c>
      <x:c r="F16" s="2" t="n">
        <x:f>IF(D16=0,"",IF(MIN(G16:L16)&gt;=1000000,0,MATCH(MIN(G16:L16),G16:L16,0)))</x:f>
        <x:v>4</x:v>
      </x:c>
      <x:c r="G16" s="2" t="n">
        <x:f>IF(OR($D16=0,INDEX('希望休'!$B$7:$AF$12,1,$B16)&lt;&gt;"可",COUNTIFS($A$7:A15,$A16,$F$7:F15,1)&gt;0,COUNTIF($F$7:F15,1)&gt;='設定'!C7,M15&gt;='設定'!D7),1000000,COUNTIF($F$7:F15,1)*100+MOD(0+3+'設定'!$F$3,6))</x:f>
        <x:v>103</x:v>
      </x:c>
      <x:c r="H16" s="2" t="n">
        <x:f>IF(OR($D16=0,INDEX('希望休'!$B$7:$AF$12,2,$B16)&lt;&gt;"可",COUNTIFS($A$7:A15,$A16,$F$7:F15,2)&gt;0,COUNTIF($F$7:F15,2)&gt;='設定'!C8,N15&gt;='設定'!D8),1000000,COUNTIF($F$7:F15,2)*100+MOD(1+3+'設定'!$F$3,6))</x:f>
        <x:v>104</x:v>
      </x:c>
      <x:c r="I16" s="2" t="n">
        <x:f>IF(OR($D16=0,INDEX('希望休'!$B$7:$AF$12,3,$B16)&lt;&gt;"可",COUNTIFS($A$7:A15,$A16,$F$7:F15,3)&gt;0,COUNTIF($F$7:F15,3)&gt;='設定'!C9,O15&gt;='設定'!D9),1000000,COUNTIF($F$7:F15,3)*100+MOD(2+3+'設定'!$F$3,6))</x:f>
        <x:v>1000000</x:v>
      </x:c>
      <x:c r="J16" s="2" t="n">
        <x:f>IF(OR($D16=0,INDEX('希望休'!$B$7:$AF$12,4,$B16)&lt;&gt;"可",COUNTIFS($A$7:A15,$A16,$F$7:F15,4)&gt;0,COUNTIF($F$7:F15,4)&gt;='設定'!C10,P15&gt;='設定'!D10),1000000,COUNTIF($F$7:F15,4)*100+MOD(3+3+'設定'!$F$3,6))</x:f>
        <x:v>100</x:v>
      </x:c>
      <x:c r="K16" s="2" t="n">
        <x:f>IF(OR($D16=0,INDEX('希望休'!$B$7:$AF$12,5,$B16)&lt;&gt;"可",COUNTIFS($A$7:A15,$A16,$F$7:F15,5)&gt;0,COUNTIF($F$7:F15,5)&gt;='設定'!C11,Q15&gt;='設定'!D11),1000000,COUNTIF($F$7:F15,5)*100+MOD(4+3+'設定'!$F$3,6))</x:f>
        <x:v>101</x:v>
      </x:c>
      <x:c r="L16" s="2" t="n">
        <x:f>IF(OR($D16=0,INDEX('希望休'!$B$7:$AF$12,6,$B16)&lt;&gt;"可",COUNTIFS($A$7:A15,$A16,$F$7:F15,6)&gt;0,COUNTIF($F$7:F15,6)&gt;='設定'!C12,R15&gt;='設定'!D12),1000000,COUNTIF($F$7:F15,6)*100+MOD(5+3+'設定'!$F$3,6))</x:f>
        <x:v>202</x:v>
      </x:c>
      <x:c r="M16" s="2" t="n">
        <x:f>IF($A16="",0,IF(COUNTIF($F$16:F16,1)&gt;0,M15+1,0))</x:f>
        <x:v>0</x:v>
      </x:c>
      <x:c r="N16" s="2" t="n">
        <x:f>IF($A16="",0,IF(COUNTIF($F$16:F16,2)&gt;0,N15+1,0))</x:f>
        <x:v>0</x:v>
      </x:c>
      <x:c r="O16" s="2" t="n">
        <x:f>IF($A16="",0,IF(COUNTIF($F$16:F16,3)&gt;0,O15+1,0))</x:f>
        <x:v>0</x:v>
      </x:c>
      <x:c r="P16" s="2" t="n">
        <x:f>IF($A16="",0,IF(COUNTIF($F$16:F16,4)&gt;0,P15+1,0))</x:f>
        <x:v>1</x:v>
      </x:c>
      <x:c r="Q16" s="2" t="n">
        <x:f>IF($A16="",0,IF(COUNTIF($F$16:F16,5)&gt;0,Q15+1,0))</x:f>
        <x:v>0</x:v>
      </x:c>
      <x:c r="R16" s="2" t="n">
        <x:f>IF($A16="",0,IF(COUNTIF($F$16:F16,6)&gt;0,R15+1,0))</x:f>
        <x:v>0</x:v>
      </x:c>
    </x:row>
    <x:row r="17" ht="24" customHeight="1">
      <x:c r="A17" s="15" t="n">
        <x:f>'設定'!D16</x:f>
        <x:v>46268</x:v>
      </x:c>
      <x:c r="B17" s="2" t="n">
        <x:f>3</x:f>
        <x:v>3</x:v>
      </x:c>
      <x:c r="C17" s="2" t="str">
        <x:f>"早"</x:f>
        <x:v>早</x:v>
      </x:c>
      <x:c r="D17" s="2" t="n">
        <x:f>IF(AND('設定'!$B$21="入力OK",'設定'!D16&lt;&gt;"",'設定'!D17&gt;=2),1,0)</x:f>
        <x:v>1</x:v>
      </x:c>
      <x:c r="E17" s="2" t="str">
        <x:f>IF(D17=0,"",IF(F17=0,"不足",INDEX('設定'!$B$7:$B$12,F17)))</x:f>
        <x:v>スタッフE</x:v>
      </x:c>
      <x:c r="F17" s="2" t="n">
        <x:f>IF(D17=0,"",IF(MIN(G17:L17)&gt;=1000000,0,MATCH(MIN(G17:L17),G17:L17,0)))</x:f>
        <x:v>5</x:v>
      </x:c>
      <x:c r="G17" s="2" t="n">
        <x:f>IF(OR($D17=0,INDEX('希望休'!$B$7:$AF$12,1,$B17)&lt;&gt;"可",COUNTIFS($A$7:A16,$A17,$F$7:F16,1)&gt;0,COUNTIF($F$7:F16,1)&gt;='設定'!C7,M15&gt;='設定'!D7),1000000,COUNTIF($F$7:F16,1)*100+MOD(0+3+'設定'!$F$3,6))</x:f>
        <x:v>103</x:v>
      </x:c>
      <x:c r="H17" s="2" t="n">
        <x:f>IF(OR($D17=0,INDEX('希望休'!$B$7:$AF$12,2,$B17)&lt;&gt;"可",COUNTIFS($A$7:A16,$A17,$F$7:F16,2)&gt;0,COUNTIF($F$7:F16,2)&gt;='設定'!C8,N15&gt;='設定'!D8),1000000,COUNTIF($F$7:F16,2)*100+MOD(1+3+'設定'!$F$3,6))</x:f>
        <x:v>104</x:v>
      </x:c>
      <x:c r="I17" s="2" t="n">
        <x:f>IF(OR($D17=0,INDEX('希望休'!$B$7:$AF$12,3,$B17)&lt;&gt;"可",COUNTIFS($A$7:A16,$A17,$F$7:F16,3)&gt;0,COUNTIF($F$7:F16,3)&gt;='設定'!C9,O15&gt;='設定'!D9),1000000,COUNTIF($F$7:F16,3)*100+MOD(2+3+'設定'!$F$3,6))</x:f>
        <x:v>1000000</x:v>
      </x:c>
      <x:c r="J17" s="2" t="n">
        <x:f>IF(OR($D17=0,INDEX('希望休'!$B$7:$AF$12,4,$B17)&lt;&gt;"可",COUNTIFS($A$7:A16,$A17,$F$7:F16,4)&gt;0,COUNTIF($F$7:F16,4)&gt;='設定'!C10,P15&gt;='設定'!D10),1000000,COUNTIF($F$7:F16,4)*100+MOD(3+3+'設定'!$F$3,6))</x:f>
        <x:v>1000000</x:v>
      </x:c>
      <x:c r="K17" s="2" t="n">
        <x:f>IF(OR($D17=0,INDEX('希望休'!$B$7:$AF$12,5,$B17)&lt;&gt;"可",COUNTIFS($A$7:A16,$A17,$F$7:F16,5)&gt;0,COUNTIF($F$7:F16,5)&gt;='設定'!C11,Q15&gt;='設定'!D11),1000000,COUNTIF($F$7:F16,5)*100+MOD(4+3+'設定'!$F$3,6))</x:f>
        <x:v>101</x:v>
      </x:c>
      <x:c r="L17" s="2" t="n">
        <x:f>IF(OR($D17=0,INDEX('希望休'!$B$7:$AF$12,6,$B17)&lt;&gt;"可",COUNTIFS($A$7:A16,$A17,$F$7:F16,6)&gt;0,COUNTIF($F$7:F16,6)&gt;='設定'!C12,R15&gt;='設定'!D12),1000000,COUNTIF($F$7:F16,6)*100+MOD(5+3+'設定'!$F$3,6))</x:f>
        <x:v>202</x:v>
      </x:c>
      <x:c r="M17" s="2" t="n">
        <x:f>IF($A17="",0,IF(COUNTIF($F$16:F17,1)&gt;0,M15+1,0))</x:f>
        <x:v>0</x:v>
      </x:c>
      <x:c r="N17" s="2" t="n">
        <x:f>IF($A17="",0,IF(COUNTIF($F$16:F17,2)&gt;0,N15+1,0))</x:f>
        <x:v>0</x:v>
      </x:c>
      <x:c r="O17" s="2" t="n">
        <x:f>IF($A17="",0,IF(COUNTIF($F$16:F17,3)&gt;0,O15+1,0))</x:f>
        <x:v>0</x:v>
      </x:c>
      <x:c r="P17" s="2" t="n">
        <x:f>IF($A17="",0,IF(COUNTIF($F$16:F17,4)&gt;0,P15+1,0))</x:f>
        <x:v>1</x:v>
      </x:c>
      <x:c r="Q17" s="2" t="n">
        <x:f>IF($A17="",0,IF(COUNTIF($F$16:F17,5)&gt;0,Q15+1,0))</x:f>
        <x:v>2</x:v>
      </x:c>
      <x:c r="R17" s="2" t="n">
        <x:f>IF($A17="",0,IF(COUNTIF($F$16:F17,6)&gt;0,R15+1,0))</x:f>
        <x:v>0</x:v>
      </x:c>
    </x:row>
    <x:row r="18" ht="24" customHeight="1">
      <x:c r="A18" s="15" t="n">
        <x:f>'設定'!D16</x:f>
        <x:v>46268</x:v>
      </x:c>
      <x:c r="B18" s="2" t="n">
        <x:f>3</x:f>
        <x:v>3</x:v>
      </x:c>
      <x:c r="C18" s="2" t="str">
        <x:f>"遅"</x:f>
        <x:v>遅</x:v>
      </x:c>
      <x:c r="D18" s="2" t="n">
        <x:f>IF(AND('設定'!$B$21="入力OK",'設定'!D16&lt;&gt;"",'設定'!D18&gt;=1),1,0)</x:f>
        <x:v>1</x:v>
      </x:c>
      <x:c r="E18" s="2" t="str">
        <x:f>IF(D18=0,"",IF(F18=0,"不足",INDEX('設定'!$B$7:$B$12,F18)))</x:f>
        <x:v>スタッフA</x:v>
      </x:c>
      <x:c r="F18" s="2" t="n">
        <x:f>IF(D18=0,"",IF(MIN(G18:L18)&gt;=1000000,0,MATCH(MIN(G18:L18),G18:L18,0)))</x:f>
        <x:v>1</x:v>
      </x:c>
      <x:c r="G18" s="2" t="n">
        <x:f>IF(OR($D18=0,INDEX('希望休'!$B$7:$AF$12,1,$B18)&lt;&gt;"可",COUNTIFS($A$7:A17,$A18,$F$7:F17,1)&gt;0,COUNTIF($F$7:F17,1)&gt;='設定'!C7,M15&gt;='設定'!D7),1000000,COUNTIF($F$7:F17,1)*100+MOD(0+3+'設定'!$F$3,6))</x:f>
        <x:v>103</x:v>
      </x:c>
      <x:c r="H18" s="2" t="n">
        <x:f>IF(OR($D18=0,INDEX('希望休'!$B$7:$AF$12,2,$B18)&lt;&gt;"可",COUNTIFS($A$7:A17,$A18,$F$7:F17,2)&gt;0,COUNTIF($F$7:F17,2)&gt;='設定'!C8,N15&gt;='設定'!D8),1000000,COUNTIF($F$7:F17,2)*100+MOD(1+3+'設定'!$F$3,6))</x:f>
        <x:v>104</x:v>
      </x:c>
      <x:c r="I18" s="2" t="n">
        <x:f>IF(OR($D18=0,INDEX('希望休'!$B$7:$AF$12,3,$B18)&lt;&gt;"可",COUNTIFS($A$7:A17,$A18,$F$7:F17,3)&gt;0,COUNTIF($F$7:F17,3)&gt;='設定'!C9,O15&gt;='設定'!D9),1000000,COUNTIF($F$7:F17,3)*100+MOD(2+3+'設定'!$F$3,6))</x:f>
        <x:v>1000000</x:v>
      </x:c>
      <x:c r="J18" s="2" t="n">
        <x:f>IF(OR($D18=0,INDEX('希望休'!$B$7:$AF$12,4,$B18)&lt;&gt;"可",COUNTIFS($A$7:A17,$A18,$F$7:F17,4)&gt;0,COUNTIF($F$7:F17,4)&gt;='設定'!C10,P15&gt;='設定'!D10),1000000,COUNTIF($F$7:F17,4)*100+MOD(3+3+'設定'!$F$3,6))</x:f>
        <x:v>1000000</x:v>
      </x:c>
      <x:c r="K18" s="2" t="n">
        <x:f>IF(OR($D18=0,INDEX('希望休'!$B$7:$AF$12,5,$B18)&lt;&gt;"可",COUNTIFS($A$7:A17,$A18,$F$7:F17,5)&gt;0,COUNTIF($F$7:F17,5)&gt;='設定'!C11,Q15&gt;='設定'!D11),1000000,COUNTIF($F$7:F17,5)*100+MOD(4+3+'設定'!$F$3,6))</x:f>
        <x:v>1000000</x:v>
      </x:c>
      <x:c r="L18" s="2" t="n">
        <x:f>IF(OR($D18=0,INDEX('希望休'!$B$7:$AF$12,6,$B18)&lt;&gt;"可",COUNTIFS($A$7:A17,$A18,$F$7:F17,6)&gt;0,COUNTIF($F$7:F17,6)&gt;='設定'!C12,R15&gt;='設定'!D12),1000000,COUNTIF($F$7:F17,6)*100+MOD(5+3+'設定'!$F$3,6))</x:f>
        <x:v>202</x:v>
      </x:c>
      <x:c r="M18" s="2" t="n">
        <x:f>IF($A18="",0,IF(COUNTIF($F$16:F18,1)&gt;0,M15+1,0))</x:f>
        <x:v>2</x:v>
      </x:c>
      <x:c r="N18" s="2" t="n">
        <x:f>IF($A18="",0,IF(COUNTIF($F$16:F18,2)&gt;0,N15+1,0))</x:f>
        <x:v>0</x:v>
      </x:c>
      <x:c r="O18" s="2" t="n">
        <x:f>IF($A18="",0,IF(COUNTIF($F$16:F18,3)&gt;0,O15+1,0))</x:f>
        <x:v>0</x:v>
      </x:c>
      <x:c r="P18" s="2" t="n">
        <x:f>IF($A18="",0,IF(COUNTIF($F$16:F18,4)&gt;0,P15+1,0))</x:f>
        <x:v>1</x:v>
      </x:c>
      <x:c r="Q18" s="2" t="n">
        <x:f>IF($A18="",0,IF(COUNTIF($F$16:F18,5)&gt;0,Q15+1,0))</x:f>
        <x:v>2</x:v>
      </x:c>
      <x:c r="R18" s="2" t="n">
        <x:f>IF($A18="",0,IF(COUNTIF($F$16:F18,6)&gt;0,R15+1,0))</x:f>
        <x:v>0</x:v>
      </x:c>
    </x:row>
    <x:row r="19" ht="24" customHeight="1">
      <x:c r="A19" s="15" t="n">
        <x:f>'設定'!D16</x:f>
        <x:v>46268</x:v>
      </x:c>
      <x:c r="B19" s="2" t="n">
        <x:f>3</x:f>
        <x:v>3</x:v>
      </x:c>
      <x:c r="C19" s="2" t="str">
        <x:f>"遅"</x:f>
        <x:v>遅</x:v>
      </x:c>
      <x:c r="D19" s="2" t="n">
        <x:f>IF(AND('設定'!$B$21="入力OK",'設定'!D16&lt;&gt;"",'設定'!D18&gt;=2),1,0)</x:f>
        <x:v>1</x:v>
      </x:c>
      <x:c r="E19" s="2" t="str">
        <x:f>IF(D19=0,"",IF(F19=0,"不足",INDEX('設定'!$B$7:$B$12,F19)))</x:f>
        <x:v>スタッフB</x:v>
      </x:c>
      <x:c r="F19" s="2" t="n">
        <x:f>IF(D19=0,"",IF(MIN(G19:L19)&gt;=1000000,0,MATCH(MIN(G19:L19),G19:L19,0)))</x:f>
        <x:v>2</x:v>
      </x:c>
      <x:c r="G19" s="2" t="n">
        <x:f>IF(OR($D19=0,INDEX('希望休'!$B$7:$AF$12,1,$B19)&lt;&gt;"可",COUNTIFS($A$7:A18,$A19,$F$7:F18,1)&gt;0,COUNTIF($F$7:F18,1)&gt;='設定'!C7,M15&gt;='設定'!D7),1000000,COUNTIF($F$7:F18,1)*100+MOD(0+3+'設定'!$F$3,6))</x:f>
        <x:v>1000000</x:v>
      </x:c>
      <x:c r="H19" s="2" t="n">
        <x:f>IF(OR($D19=0,INDEX('希望休'!$B$7:$AF$12,2,$B19)&lt;&gt;"可",COUNTIFS($A$7:A18,$A19,$F$7:F18,2)&gt;0,COUNTIF($F$7:F18,2)&gt;='設定'!C8,N15&gt;='設定'!D8),1000000,COUNTIF($F$7:F18,2)*100+MOD(1+3+'設定'!$F$3,6))</x:f>
        <x:v>104</x:v>
      </x:c>
      <x:c r="I19" s="2" t="n">
        <x:f>IF(OR($D19=0,INDEX('希望休'!$B$7:$AF$12,3,$B19)&lt;&gt;"可",COUNTIFS($A$7:A18,$A19,$F$7:F18,3)&gt;0,COUNTIF($F$7:F18,3)&gt;='設定'!C9,O15&gt;='設定'!D9),1000000,COUNTIF($F$7:F18,3)*100+MOD(2+3+'設定'!$F$3,6))</x:f>
        <x:v>1000000</x:v>
      </x:c>
      <x:c r="J19" s="2" t="n">
        <x:f>IF(OR($D19=0,INDEX('希望休'!$B$7:$AF$12,4,$B19)&lt;&gt;"可",COUNTIFS($A$7:A18,$A19,$F$7:F18,4)&gt;0,COUNTIF($F$7:F18,4)&gt;='設定'!C10,P15&gt;='設定'!D10),1000000,COUNTIF($F$7:F18,4)*100+MOD(3+3+'設定'!$F$3,6))</x:f>
        <x:v>1000000</x:v>
      </x:c>
      <x:c r="K19" s="2" t="n">
        <x:f>IF(OR($D19=0,INDEX('希望休'!$B$7:$AF$12,5,$B19)&lt;&gt;"可",COUNTIFS($A$7:A18,$A19,$F$7:F18,5)&gt;0,COUNTIF($F$7:F18,5)&gt;='設定'!C11,Q15&gt;='設定'!D11),1000000,COUNTIF($F$7:F18,5)*100+MOD(4+3+'設定'!$F$3,6))</x:f>
        <x:v>1000000</x:v>
      </x:c>
      <x:c r="L19" s="2" t="n">
        <x:f>IF(OR($D19=0,INDEX('希望休'!$B$7:$AF$12,6,$B19)&lt;&gt;"可",COUNTIFS($A$7:A18,$A19,$F$7:F18,6)&gt;0,COUNTIF($F$7:F18,6)&gt;='設定'!C12,R15&gt;='設定'!D12),1000000,COUNTIF($F$7:F18,6)*100+MOD(5+3+'設定'!$F$3,6))</x:f>
        <x:v>202</x:v>
      </x:c>
      <x:c r="M19" s="2" t="n">
        <x:f>IF($A19="",0,IF(COUNTIF($F$16:F19,1)&gt;0,M15+1,0))</x:f>
        <x:v>2</x:v>
      </x:c>
      <x:c r="N19" s="2" t="n">
        <x:f>IF($A19="",0,IF(COUNTIF($F$16:F19,2)&gt;0,N15+1,0))</x:f>
        <x:v>1</x:v>
      </x:c>
      <x:c r="O19" s="2" t="n">
        <x:f>IF($A19="",0,IF(COUNTIF($F$16:F19,3)&gt;0,O15+1,0))</x:f>
        <x:v>0</x:v>
      </x:c>
      <x:c r="P19" s="2" t="n">
        <x:f>IF($A19="",0,IF(COUNTIF($F$16:F19,4)&gt;0,P15+1,0))</x:f>
        <x:v>1</x:v>
      </x:c>
      <x:c r="Q19" s="2" t="n">
        <x:f>IF($A19="",0,IF(COUNTIF($F$16:F19,5)&gt;0,Q15+1,0))</x:f>
        <x:v>2</x:v>
      </x:c>
      <x:c r="R19" s="2" t="n">
        <x:f>IF($A19="",0,IF(COUNTIF($F$16:F19,6)&gt;0,R15+1,0))</x:f>
        <x:v>0</x:v>
      </x:c>
    </x:row>
    <x:row r="20" ht="24" customHeight="1">
      <x:c r="A20" s="15" t="n">
        <x:f>'設定'!E16</x:f>
        <x:v>46269</x:v>
      </x:c>
      <x:c r="B20" s="2" t="n">
        <x:f>4</x:f>
        <x:v>4</x:v>
      </x:c>
      <x:c r="C20" s="2" t="str">
        <x:f>"早"</x:f>
        <x:v>早</x:v>
      </x:c>
      <x:c r="D20" s="2" t="n">
        <x:f>IF(AND('設定'!$B$21="入力OK",'設定'!E16&lt;&gt;"",'設定'!E17&gt;=1),1,0)</x:f>
        <x:v>1</x:v>
      </x:c>
      <x:c r="E20" s="2" t="str">
        <x:f>IF(D20=0,"",IF(F20=0,"不足",INDEX('設定'!$B$7:$B$12,F20)))</x:f>
        <x:v>スタッフC</x:v>
      </x:c>
      <x:c r="F20" s="2" t="n">
        <x:f>IF(D20=0,"",IF(MIN(G20:L20)&gt;=1000000,0,MATCH(MIN(G20:L20),G20:L20,0)))</x:f>
        <x:v>3</x:v>
      </x:c>
      <x:c r="G20" s="2" t="n">
        <x:f>IF(OR($D20=0,INDEX('希望休'!$B$7:$AF$12,1,$B20)&lt;&gt;"可",COUNTIFS($A$7:A19,$A20,$F$7:F19,1)&gt;0,COUNTIF($F$7:F19,1)&gt;='設定'!C7,M19&gt;='設定'!D7),1000000,COUNTIF($F$7:F19,1)*100+MOD(0+4+'設定'!$F$3,6))</x:f>
        <x:v>204</x:v>
      </x:c>
      <x:c r="H20" s="2" t="n">
        <x:f>IF(OR($D20=0,INDEX('希望休'!$B$7:$AF$12,2,$B20)&lt;&gt;"可",COUNTIFS($A$7:A19,$A20,$F$7:F19,2)&gt;0,COUNTIF($F$7:F19,2)&gt;='設定'!C8,N19&gt;='設定'!D8),1000000,COUNTIF($F$7:F19,2)*100+MOD(1+4+'設定'!$F$3,6))</x:f>
        <x:v>205</x:v>
      </x:c>
      <x:c r="I20" s="2" t="n">
        <x:f>IF(OR($D20=0,INDEX('希望休'!$B$7:$AF$12,3,$B20)&lt;&gt;"可",COUNTIFS($A$7:A19,$A20,$F$7:F19,3)&gt;0,COUNTIF($F$7:F19,3)&gt;='設定'!C9,O19&gt;='設定'!D9),1000000,COUNTIF($F$7:F19,3)*100+MOD(2+4+'設定'!$F$3,6))</x:f>
        <x:v>200</x:v>
      </x:c>
      <x:c r="J20" s="2" t="n">
        <x:f>IF(OR($D20=0,INDEX('希望休'!$B$7:$AF$12,4,$B20)&lt;&gt;"可",COUNTIFS($A$7:A19,$A20,$F$7:F19,4)&gt;0,COUNTIF($F$7:F19,4)&gt;='設定'!C10,P19&gt;='設定'!D10),1000000,COUNTIF($F$7:F19,4)*100+MOD(3+4+'設定'!$F$3,6))</x:f>
        <x:v>1000000</x:v>
      </x:c>
      <x:c r="K20" s="2" t="n">
        <x:f>IF(OR($D20=0,INDEX('希望休'!$B$7:$AF$12,5,$B20)&lt;&gt;"可",COUNTIFS($A$7:A19,$A20,$F$7:F19,5)&gt;0,COUNTIF($F$7:F19,5)&gt;='設定'!C11,Q19&gt;='設定'!D11),1000000,COUNTIF($F$7:F19,5)*100+MOD(4+4+'設定'!$F$3,6))</x:f>
        <x:v>202</x:v>
      </x:c>
      <x:c r="L20" s="2" t="n">
        <x:f>IF(OR($D20=0,INDEX('希望休'!$B$7:$AF$12,6,$B20)&lt;&gt;"可",COUNTIFS($A$7:A19,$A20,$F$7:F19,6)&gt;0,COUNTIF($F$7:F19,6)&gt;='設定'!C12,R19&gt;='設定'!D12),1000000,COUNTIF($F$7:F19,6)*100+MOD(5+4+'設定'!$F$3,6))</x:f>
        <x:v>203</x:v>
      </x:c>
      <x:c r="M20" s="2" t="n">
        <x:f>IF($A20="",0,IF(COUNTIF($F$20:F20,1)&gt;0,M19+1,0))</x:f>
        <x:v>0</x:v>
      </x:c>
      <x:c r="N20" s="2" t="n">
        <x:f>IF($A20="",0,IF(COUNTIF($F$20:F20,2)&gt;0,N19+1,0))</x:f>
        <x:v>0</x:v>
      </x:c>
      <x:c r="O20" s="2" t="n">
        <x:f>IF($A20="",0,IF(COUNTIF($F$20:F20,3)&gt;0,O19+1,0))</x:f>
        <x:v>1</x:v>
      </x:c>
      <x:c r="P20" s="2" t="n">
        <x:f>IF($A20="",0,IF(COUNTIF($F$20:F20,4)&gt;0,P19+1,0))</x:f>
        <x:v>0</x:v>
      </x:c>
      <x:c r="Q20" s="2" t="n">
        <x:f>IF($A20="",0,IF(COUNTIF($F$20:F20,5)&gt;0,Q19+1,0))</x:f>
        <x:v>0</x:v>
      </x:c>
      <x:c r="R20" s="2" t="n">
        <x:f>IF($A20="",0,IF(COUNTIF($F$20:F20,6)&gt;0,R19+1,0))</x:f>
        <x:v>0</x:v>
      </x:c>
    </x:row>
    <x:row r="21" ht="24" customHeight="1">
      <x:c r="A21" s="15" t="n">
        <x:f>'設定'!E16</x:f>
        <x:v>46269</x:v>
      </x:c>
      <x:c r="B21" s="2" t="n">
        <x:f>4</x:f>
        <x:v>4</x:v>
      </x:c>
      <x:c r="C21" s="2" t="str">
        <x:f>"早"</x:f>
        <x:v>早</x:v>
      </x:c>
      <x:c r="D21" s="2" t="n">
        <x:f>IF(AND('設定'!$B$21="入力OK",'設定'!E16&lt;&gt;"",'設定'!E17&gt;=2),1,0)</x:f>
        <x:v>1</x:v>
      </x:c>
      <x:c r="E21" s="2" t="str">
        <x:f>IF(D21=0,"",IF(F21=0,"不足",INDEX('設定'!$B$7:$B$12,F21)))</x:f>
        <x:v>スタッフE</x:v>
      </x:c>
      <x:c r="F21" s="2" t="n">
        <x:f>IF(D21=0,"",IF(MIN(G21:L21)&gt;=1000000,0,MATCH(MIN(G21:L21),G21:L21,0)))</x:f>
        <x:v>5</x:v>
      </x:c>
      <x:c r="G21" s="2" t="n">
        <x:f>IF(OR($D21=0,INDEX('希望休'!$B$7:$AF$12,1,$B21)&lt;&gt;"可",COUNTIFS($A$7:A20,$A21,$F$7:F20,1)&gt;0,COUNTIF($F$7:F20,1)&gt;='設定'!C7,M19&gt;='設定'!D7),1000000,COUNTIF($F$7:F20,1)*100+MOD(0+4+'設定'!$F$3,6))</x:f>
        <x:v>204</x:v>
      </x:c>
      <x:c r="H21" s="2" t="n">
        <x:f>IF(OR($D21=0,INDEX('希望休'!$B$7:$AF$12,2,$B21)&lt;&gt;"可",COUNTIFS($A$7:A20,$A21,$F$7:F20,2)&gt;0,COUNTIF($F$7:F20,2)&gt;='設定'!C8,N19&gt;='設定'!D8),1000000,COUNTIF($F$7:F20,2)*100+MOD(1+4+'設定'!$F$3,6))</x:f>
        <x:v>205</x:v>
      </x:c>
      <x:c r="I21" s="2" t="n">
        <x:f>IF(OR($D21=0,INDEX('希望休'!$B$7:$AF$12,3,$B21)&lt;&gt;"可",COUNTIFS($A$7:A20,$A21,$F$7:F20,3)&gt;0,COUNTIF($F$7:F20,3)&gt;='設定'!C9,O19&gt;='設定'!D9),1000000,COUNTIF($F$7:F20,3)*100+MOD(2+4+'設定'!$F$3,6))</x:f>
        <x:v>1000000</x:v>
      </x:c>
      <x:c r="J21" s="2" t="n">
        <x:f>IF(OR($D21=0,INDEX('希望休'!$B$7:$AF$12,4,$B21)&lt;&gt;"可",COUNTIFS($A$7:A20,$A21,$F$7:F20,4)&gt;0,COUNTIF($F$7:F20,4)&gt;='設定'!C10,P19&gt;='設定'!D10),1000000,COUNTIF($F$7:F20,4)*100+MOD(3+4+'設定'!$F$3,6))</x:f>
        <x:v>1000000</x:v>
      </x:c>
      <x:c r="K21" s="2" t="n">
        <x:f>IF(OR($D21=0,INDEX('希望休'!$B$7:$AF$12,5,$B21)&lt;&gt;"可",COUNTIFS($A$7:A20,$A21,$F$7:F20,5)&gt;0,COUNTIF($F$7:F20,5)&gt;='設定'!C11,Q19&gt;='設定'!D11),1000000,COUNTIF($F$7:F20,5)*100+MOD(4+4+'設定'!$F$3,6))</x:f>
        <x:v>202</x:v>
      </x:c>
      <x:c r="L21" s="2" t="n">
        <x:f>IF(OR($D21=0,INDEX('希望休'!$B$7:$AF$12,6,$B21)&lt;&gt;"可",COUNTIFS($A$7:A20,$A21,$F$7:F20,6)&gt;0,COUNTIF($F$7:F20,6)&gt;='設定'!C12,R19&gt;='設定'!D12),1000000,COUNTIF($F$7:F20,6)*100+MOD(5+4+'設定'!$F$3,6))</x:f>
        <x:v>203</x:v>
      </x:c>
      <x:c r="M21" s="2" t="n">
        <x:f>IF($A21="",0,IF(COUNTIF($F$20:F21,1)&gt;0,M19+1,0))</x:f>
        <x:v>0</x:v>
      </x:c>
      <x:c r="N21" s="2" t="n">
        <x:f>IF($A21="",0,IF(COUNTIF($F$20:F21,2)&gt;0,N19+1,0))</x:f>
        <x:v>0</x:v>
      </x:c>
      <x:c r="O21" s="2" t="n">
        <x:f>IF($A21="",0,IF(COUNTIF($F$20:F21,3)&gt;0,O19+1,0))</x:f>
        <x:v>1</x:v>
      </x:c>
      <x:c r="P21" s="2" t="n">
        <x:f>IF($A21="",0,IF(COUNTIF($F$20:F21,4)&gt;0,P19+1,0))</x:f>
        <x:v>0</x:v>
      </x:c>
      <x:c r="Q21" s="2" t="n">
        <x:f>IF($A21="",0,IF(COUNTIF($F$20:F21,5)&gt;0,Q19+1,0))</x:f>
        <x:v>3</x:v>
      </x:c>
      <x:c r="R21" s="2" t="n">
        <x:f>IF($A21="",0,IF(COUNTIF($F$20:F21,6)&gt;0,R19+1,0))</x:f>
        <x:v>0</x:v>
      </x:c>
    </x:row>
    <x:row r="22" ht="24" customHeight="1">
      <x:c r="A22" s="15" t="n">
        <x:f>'設定'!E16</x:f>
        <x:v>46269</x:v>
      </x:c>
      <x:c r="B22" s="2" t="n">
        <x:f>4</x:f>
        <x:v>4</x:v>
      </x:c>
      <x:c r="C22" s="2" t="str">
        <x:f>"遅"</x:f>
        <x:v>遅</x:v>
      </x:c>
      <x:c r="D22" s="2" t="n">
        <x:f>IF(AND('設定'!$B$21="入力OK",'設定'!E16&lt;&gt;"",'設定'!E18&gt;=1),1,0)</x:f>
        <x:v>1</x:v>
      </x:c>
      <x:c r="E22" s="2" t="str">
        <x:f>IF(D22=0,"",IF(F22=0,"不足",INDEX('設定'!$B$7:$B$12,F22)))</x:f>
        <x:v>スタッフF</x:v>
      </x:c>
      <x:c r="F22" s="2" t="n">
        <x:f>IF(D22=0,"",IF(MIN(G22:L22)&gt;=1000000,0,MATCH(MIN(G22:L22),G22:L22,0)))</x:f>
        <x:v>6</x:v>
      </x:c>
      <x:c r="G22" s="2" t="n">
        <x:f>IF(OR($D22=0,INDEX('希望休'!$B$7:$AF$12,1,$B22)&lt;&gt;"可",COUNTIFS($A$7:A21,$A22,$F$7:F21,1)&gt;0,COUNTIF($F$7:F21,1)&gt;='設定'!C7,M19&gt;='設定'!D7),1000000,COUNTIF($F$7:F21,1)*100+MOD(0+4+'設定'!$F$3,6))</x:f>
        <x:v>204</x:v>
      </x:c>
      <x:c r="H22" s="2" t="n">
        <x:f>IF(OR($D22=0,INDEX('希望休'!$B$7:$AF$12,2,$B22)&lt;&gt;"可",COUNTIFS($A$7:A21,$A22,$F$7:F21,2)&gt;0,COUNTIF($F$7:F21,2)&gt;='設定'!C8,N19&gt;='設定'!D8),1000000,COUNTIF($F$7:F21,2)*100+MOD(1+4+'設定'!$F$3,6))</x:f>
        <x:v>205</x:v>
      </x:c>
      <x:c r="I22" s="2" t="n">
        <x:f>IF(OR($D22=0,INDEX('希望休'!$B$7:$AF$12,3,$B22)&lt;&gt;"可",COUNTIFS($A$7:A21,$A22,$F$7:F21,3)&gt;0,COUNTIF($F$7:F21,3)&gt;='設定'!C9,O19&gt;='設定'!D9),1000000,COUNTIF($F$7:F21,3)*100+MOD(2+4+'設定'!$F$3,6))</x:f>
        <x:v>1000000</x:v>
      </x:c>
      <x:c r="J22" s="2" t="n">
        <x:f>IF(OR($D22=0,INDEX('希望休'!$B$7:$AF$12,4,$B22)&lt;&gt;"可",COUNTIFS($A$7:A21,$A22,$F$7:F21,4)&gt;0,COUNTIF($F$7:F21,4)&gt;='設定'!C10,P19&gt;='設定'!D10),1000000,COUNTIF($F$7:F21,4)*100+MOD(3+4+'設定'!$F$3,6))</x:f>
        <x:v>1000000</x:v>
      </x:c>
      <x:c r="K22" s="2" t="n">
        <x:f>IF(OR($D22=0,INDEX('希望休'!$B$7:$AF$12,5,$B22)&lt;&gt;"可",COUNTIFS($A$7:A21,$A22,$F$7:F21,5)&gt;0,COUNTIF($F$7:F21,5)&gt;='設定'!C11,Q19&gt;='設定'!D11),1000000,COUNTIF($F$7:F21,5)*100+MOD(4+4+'設定'!$F$3,6))</x:f>
        <x:v>1000000</x:v>
      </x:c>
      <x:c r="L22" s="2" t="n">
        <x:f>IF(OR($D22=0,INDEX('希望休'!$B$7:$AF$12,6,$B22)&lt;&gt;"可",COUNTIFS($A$7:A21,$A22,$F$7:F21,6)&gt;0,COUNTIF($F$7:F21,6)&gt;='設定'!C12,R19&gt;='設定'!D12),1000000,COUNTIF($F$7:F21,6)*100+MOD(5+4+'設定'!$F$3,6))</x:f>
        <x:v>203</x:v>
      </x:c>
      <x:c r="M22" s="2" t="n">
        <x:f>IF($A22="",0,IF(COUNTIF($F$20:F22,1)&gt;0,M19+1,0))</x:f>
        <x:v>0</x:v>
      </x:c>
      <x:c r="N22" s="2" t="n">
        <x:f>IF($A22="",0,IF(COUNTIF($F$20:F22,2)&gt;0,N19+1,0))</x:f>
        <x:v>0</x:v>
      </x:c>
      <x:c r="O22" s="2" t="n">
        <x:f>IF($A22="",0,IF(COUNTIF($F$20:F22,3)&gt;0,O19+1,0))</x:f>
        <x:v>1</x:v>
      </x:c>
      <x:c r="P22" s="2" t="n">
        <x:f>IF($A22="",0,IF(COUNTIF($F$20:F22,4)&gt;0,P19+1,0))</x:f>
        <x:v>0</x:v>
      </x:c>
      <x:c r="Q22" s="2" t="n">
        <x:f>IF($A22="",0,IF(COUNTIF($F$20:F22,5)&gt;0,Q19+1,0))</x:f>
        <x:v>3</x:v>
      </x:c>
      <x:c r="R22" s="2" t="n">
        <x:f>IF($A22="",0,IF(COUNTIF($F$20:F22,6)&gt;0,R19+1,0))</x:f>
        <x:v>1</x:v>
      </x:c>
    </x:row>
    <x:row r="23" ht="24" customHeight="1">
      <x:c r="A23" s="15" t="n">
        <x:f>'設定'!E16</x:f>
        <x:v>46269</x:v>
      </x:c>
      <x:c r="B23" s="2" t="n">
        <x:f>4</x:f>
        <x:v>4</x:v>
      </x:c>
      <x:c r="C23" s="2" t="str">
        <x:f>"遅"</x:f>
        <x:v>遅</x:v>
      </x:c>
      <x:c r="D23" s="2" t="n">
        <x:f>IF(AND('設定'!$B$21="入力OK",'設定'!E16&lt;&gt;"",'設定'!E18&gt;=2),1,0)</x:f>
        <x:v>1</x:v>
      </x:c>
      <x:c r="E23" s="2" t="str">
        <x:f>IF(D23=0,"",IF(F23=0,"不足",INDEX('設定'!$B$7:$B$12,F23)))</x:f>
        <x:v>スタッフA</x:v>
      </x:c>
      <x:c r="F23" s="2" t="n">
        <x:f>IF(D23=0,"",IF(MIN(G23:L23)&gt;=1000000,0,MATCH(MIN(G23:L23),G23:L23,0)))</x:f>
        <x:v>1</x:v>
      </x:c>
      <x:c r="G23" s="2" t="n">
        <x:f>IF(OR($D23=0,INDEX('希望休'!$B$7:$AF$12,1,$B23)&lt;&gt;"可",COUNTIFS($A$7:A22,$A23,$F$7:F22,1)&gt;0,COUNTIF($F$7:F22,1)&gt;='設定'!C7,M19&gt;='設定'!D7),1000000,COUNTIF($F$7:F22,1)*100+MOD(0+4+'設定'!$F$3,6))</x:f>
        <x:v>204</x:v>
      </x:c>
      <x:c r="H23" s="2" t="n">
        <x:f>IF(OR($D23=0,INDEX('希望休'!$B$7:$AF$12,2,$B23)&lt;&gt;"可",COUNTIFS($A$7:A22,$A23,$F$7:F22,2)&gt;0,COUNTIF($F$7:F22,2)&gt;='設定'!C8,N19&gt;='設定'!D8),1000000,COUNTIF($F$7:F22,2)*100+MOD(1+4+'設定'!$F$3,6))</x:f>
        <x:v>205</x:v>
      </x:c>
      <x:c r="I23" s="2" t="n">
        <x:f>IF(OR($D23=0,INDEX('希望休'!$B$7:$AF$12,3,$B23)&lt;&gt;"可",COUNTIFS($A$7:A22,$A23,$F$7:F22,3)&gt;0,COUNTIF($F$7:F22,3)&gt;='設定'!C9,O19&gt;='設定'!D9),1000000,COUNTIF($F$7:F22,3)*100+MOD(2+4+'設定'!$F$3,6))</x:f>
        <x:v>1000000</x:v>
      </x:c>
      <x:c r="J23" s="2" t="n">
        <x:f>IF(OR($D23=0,INDEX('希望休'!$B$7:$AF$12,4,$B23)&lt;&gt;"可",COUNTIFS($A$7:A22,$A23,$F$7:F22,4)&gt;0,COUNTIF($F$7:F22,4)&gt;='設定'!C10,P19&gt;='設定'!D10),1000000,COUNTIF($F$7:F22,4)*100+MOD(3+4+'設定'!$F$3,6))</x:f>
        <x:v>1000000</x:v>
      </x:c>
      <x:c r="K23" s="2" t="n">
        <x:f>IF(OR($D23=0,INDEX('希望休'!$B$7:$AF$12,5,$B23)&lt;&gt;"可",COUNTIFS($A$7:A22,$A23,$F$7:F22,5)&gt;0,COUNTIF($F$7:F22,5)&gt;='設定'!C11,Q19&gt;='設定'!D11),1000000,COUNTIF($F$7:F22,5)*100+MOD(4+4+'設定'!$F$3,6))</x:f>
        <x:v>1000000</x:v>
      </x:c>
      <x:c r="L23" s="2" t="n">
        <x:f>IF(OR($D23=0,INDEX('希望休'!$B$7:$AF$12,6,$B23)&lt;&gt;"可",COUNTIFS($A$7:A22,$A23,$F$7:F22,6)&gt;0,COUNTIF($F$7:F22,6)&gt;='設定'!C12,R19&gt;='設定'!D12),1000000,COUNTIF($F$7:F22,6)*100+MOD(5+4+'設定'!$F$3,6))</x:f>
        <x:v>1000000</x:v>
      </x:c>
      <x:c r="M23" s="2" t="n">
        <x:f>IF($A23="",0,IF(COUNTIF($F$20:F23,1)&gt;0,M19+1,0))</x:f>
        <x:v>3</x:v>
      </x:c>
      <x:c r="N23" s="2" t="n">
        <x:f>IF($A23="",0,IF(COUNTIF($F$20:F23,2)&gt;0,N19+1,0))</x:f>
        <x:v>0</x:v>
      </x:c>
      <x:c r="O23" s="2" t="n">
        <x:f>IF($A23="",0,IF(COUNTIF($F$20:F23,3)&gt;0,O19+1,0))</x:f>
        <x:v>1</x:v>
      </x:c>
      <x:c r="P23" s="2" t="n">
        <x:f>IF($A23="",0,IF(COUNTIF($F$20:F23,4)&gt;0,P19+1,0))</x:f>
        <x:v>0</x:v>
      </x:c>
      <x:c r="Q23" s="2" t="n">
        <x:f>IF($A23="",0,IF(COUNTIF($F$20:F23,5)&gt;0,Q19+1,0))</x:f>
        <x:v>3</x:v>
      </x:c>
      <x:c r="R23" s="2" t="n">
        <x:f>IF($A23="",0,IF(COUNTIF($F$20:F23,6)&gt;0,R19+1,0))</x:f>
        <x:v>1</x:v>
      </x:c>
    </x:row>
    <x:row r="24" ht="24" customHeight="1">
      <x:c r="A24" s="15" t="n">
        <x:f>'設定'!F16</x:f>
        <x:v>46270</x:v>
      </x:c>
      <x:c r="B24" s="2" t="n">
        <x:f>5</x:f>
        <x:v>5</x:v>
      </x:c>
      <x:c r="C24" s="2" t="str">
        <x:f>"早"</x:f>
        <x:v>早</x:v>
      </x:c>
      <x:c r="D24" s="2" t="n">
        <x:f>IF(AND('設定'!$B$21="入力OK",'設定'!F16&lt;&gt;"",'設定'!F17&gt;=1),1,0)</x:f>
        <x:v>1</x:v>
      </x:c>
      <x:c r="E24" s="2" t="str">
        <x:f>IF(D24=0,"",IF(F24=0,"不足",INDEX('設定'!$B$7:$B$12,F24)))</x:f>
        <x:v>スタッフB</x:v>
      </x:c>
      <x:c r="F24" s="2" t="n">
        <x:f>IF(D24=0,"",IF(MIN(G24:L24)&gt;=1000000,0,MATCH(MIN(G24:L24),G24:L24,0)))</x:f>
        <x:v>2</x:v>
      </x:c>
      <x:c r="G24" s="2" t="n">
        <x:f>IF(OR($D24=0,INDEX('希望休'!$B$7:$AF$12,1,$B24)&lt;&gt;"可",COUNTIFS($A$7:A23,$A24,$F$7:F23,1)&gt;0,COUNTIF($F$7:F23,1)&gt;='設定'!C7,M23&gt;='設定'!D7),1000000,COUNTIF($F$7:F23,1)*100+MOD(0+5+'設定'!$F$3,6))</x:f>
        <x:v>305</x:v>
      </x:c>
      <x:c r="H24" s="2" t="n">
        <x:f>IF(OR($D24=0,INDEX('希望休'!$B$7:$AF$12,2,$B24)&lt;&gt;"可",COUNTIFS($A$7:A23,$A24,$F$7:F23,2)&gt;0,COUNTIF($F$7:F23,2)&gt;='設定'!C8,N23&gt;='設定'!D8),1000000,COUNTIF($F$7:F23,2)*100+MOD(1+5+'設定'!$F$3,6))</x:f>
        <x:v>200</x:v>
      </x:c>
      <x:c r="I24" s="2" t="n">
        <x:f>IF(OR($D24=0,INDEX('希望休'!$B$7:$AF$12,3,$B24)&lt;&gt;"可",COUNTIFS($A$7:A23,$A24,$F$7:F23,3)&gt;0,COUNTIF($F$7:F23,3)&gt;='設定'!C9,O23&gt;='設定'!D9),1000000,COUNTIF($F$7:F23,3)*100+MOD(2+5+'設定'!$F$3,6))</x:f>
        <x:v>301</x:v>
      </x:c>
      <x:c r="J24" s="2" t="n">
        <x:f>IF(OR($D24=0,INDEX('希望休'!$B$7:$AF$12,4,$B24)&lt;&gt;"可",COUNTIFS($A$7:A23,$A24,$F$7:F23,4)&gt;0,COUNTIF($F$7:F23,4)&gt;='設定'!C10,P23&gt;='設定'!D10),1000000,COUNTIF($F$7:F23,4)*100+MOD(3+5+'設定'!$F$3,6))</x:f>
        <x:v>202</x:v>
      </x:c>
      <x:c r="K24" s="2" t="n">
        <x:f>IF(OR($D24=0,INDEX('希望休'!$B$7:$AF$12,5,$B24)&lt;&gt;"可",COUNTIFS($A$7:A23,$A24,$F$7:F23,5)&gt;0,COUNTIF($F$7:F23,5)&gt;='設定'!C11,Q23&gt;='設定'!D11),1000000,COUNTIF($F$7:F23,5)*100+MOD(4+5+'設定'!$F$3,6))</x:f>
        <x:v>1000000</x:v>
      </x:c>
      <x:c r="L24" s="2" t="n">
        <x:f>IF(OR($D24=0,INDEX('希望休'!$B$7:$AF$12,6,$B24)&lt;&gt;"可",COUNTIFS($A$7:A23,$A24,$F$7:F23,6)&gt;0,COUNTIF($F$7:F23,6)&gt;='設定'!C12,R23&gt;='設定'!D12),1000000,COUNTIF($F$7:F23,6)*100+MOD(5+5+'設定'!$F$3,6))</x:f>
        <x:v>304</x:v>
      </x:c>
      <x:c r="M24" s="2" t="n">
        <x:f>IF($A24="",0,IF(COUNTIF($F$24:F24,1)&gt;0,M23+1,0))</x:f>
        <x:v>0</x:v>
      </x:c>
      <x:c r="N24" s="2" t="n">
        <x:f>IF($A24="",0,IF(COUNTIF($F$24:F24,2)&gt;0,N23+1,0))</x:f>
        <x:v>1</x:v>
      </x:c>
      <x:c r="O24" s="2" t="n">
        <x:f>IF($A24="",0,IF(COUNTIF($F$24:F24,3)&gt;0,O23+1,0))</x:f>
        <x:v>0</x:v>
      </x:c>
      <x:c r="P24" s="2" t="n">
        <x:f>IF($A24="",0,IF(COUNTIF($F$24:F24,4)&gt;0,P23+1,0))</x:f>
        <x:v>0</x:v>
      </x:c>
      <x:c r="Q24" s="2" t="n">
        <x:f>IF($A24="",0,IF(COUNTIF($F$24:F24,5)&gt;0,Q23+1,0))</x:f>
        <x:v>0</x:v>
      </x:c>
      <x:c r="R24" s="2" t="n">
        <x:f>IF($A24="",0,IF(COUNTIF($F$24:F24,6)&gt;0,R23+1,0))</x:f>
        <x:v>0</x:v>
      </x:c>
    </x:row>
    <x:row r="25" ht="24" customHeight="1">
      <x:c r="A25" s="15" t="n">
        <x:f>'設定'!F16</x:f>
        <x:v>46270</x:v>
      </x:c>
      <x:c r="B25" s="2" t="n">
        <x:f>5</x:f>
        <x:v>5</x:v>
      </x:c>
      <x:c r="C25" s="2" t="str">
        <x:f>"早"</x:f>
        <x:v>早</x:v>
      </x:c>
      <x:c r="D25" s="2" t="n">
        <x:f>IF(AND('設定'!$B$21="入力OK",'設定'!F16&lt;&gt;"",'設定'!F17&gt;=2),1,0)</x:f>
        <x:v>1</x:v>
      </x:c>
      <x:c r="E25" s="2" t="str">
        <x:f>IF(D25=0,"",IF(F25=0,"不足",INDEX('設定'!$B$7:$B$12,F25)))</x:f>
        <x:v>スタッフD</x:v>
      </x:c>
      <x:c r="F25" s="2" t="n">
        <x:f>IF(D25=0,"",IF(MIN(G25:L25)&gt;=1000000,0,MATCH(MIN(G25:L25),G25:L25,0)))</x:f>
        <x:v>4</x:v>
      </x:c>
      <x:c r="G25" s="2" t="n">
        <x:f>IF(OR($D25=0,INDEX('希望休'!$B$7:$AF$12,1,$B25)&lt;&gt;"可",COUNTIFS($A$7:A24,$A25,$F$7:F24,1)&gt;0,COUNTIF($F$7:F24,1)&gt;='設定'!C7,M23&gt;='設定'!D7),1000000,COUNTIF($F$7:F24,1)*100+MOD(0+5+'設定'!$F$3,6))</x:f>
        <x:v>305</x:v>
      </x:c>
      <x:c r="H25" s="2" t="n">
        <x:f>IF(OR($D25=0,INDEX('希望休'!$B$7:$AF$12,2,$B25)&lt;&gt;"可",COUNTIFS($A$7:A24,$A25,$F$7:F24,2)&gt;0,COUNTIF($F$7:F24,2)&gt;='設定'!C8,N23&gt;='設定'!D8),1000000,COUNTIF($F$7:F24,2)*100+MOD(1+5+'設定'!$F$3,6))</x:f>
        <x:v>1000000</x:v>
      </x:c>
      <x:c r="I25" s="2" t="n">
        <x:f>IF(OR($D25=0,INDEX('希望休'!$B$7:$AF$12,3,$B25)&lt;&gt;"可",COUNTIFS($A$7:A24,$A25,$F$7:F24,3)&gt;0,COUNTIF($F$7:F24,3)&gt;='設定'!C9,O23&gt;='設定'!D9),1000000,COUNTIF($F$7:F24,3)*100+MOD(2+5+'設定'!$F$3,6))</x:f>
        <x:v>301</x:v>
      </x:c>
      <x:c r="J25" s="2" t="n">
        <x:f>IF(OR($D25=0,INDEX('希望休'!$B$7:$AF$12,4,$B25)&lt;&gt;"可",COUNTIFS($A$7:A24,$A25,$F$7:F24,4)&gt;0,COUNTIF($F$7:F24,4)&gt;='設定'!C10,P23&gt;='設定'!D10),1000000,COUNTIF($F$7:F24,4)*100+MOD(3+5+'設定'!$F$3,6))</x:f>
        <x:v>202</x:v>
      </x:c>
      <x:c r="K25" s="2" t="n">
        <x:f>IF(OR($D25=0,INDEX('希望休'!$B$7:$AF$12,5,$B25)&lt;&gt;"可",COUNTIFS($A$7:A24,$A25,$F$7:F24,5)&gt;0,COUNTIF($F$7:F24,5)&gt;='設定'!C11,Q23&gt;='設定'!D11),1000000,COUNTIF($F$7:F24,5)*100+MOD(4+5+'設定'!$F$3,6))</x:f>
        <x:v>1000000</x:v>
      </x:c>
      <x:c r="L25" s="2" t="n">
        <x:f>IF(OR($D25=0,INDEX('希望休'!$B$7:$AF$12,6,$B25)&lt;&gt;"可",COUNTIFS($A$7:A24,$A25,$F$7:F24,6)&gt;0,COUNTIF($F$7:F24,6)&gt;='設定'!C12,R23&gt;='設定'!D12),1000000,COUNTIF($F$7:F24,6)*100+MOD(5+5+'設定'!$F$3,6))</x:f>
        <x:v>304</x:v>
      </x:c>
      <x:c r="M25" s="2" t="n">
        <x:f>IF($A25="",0,IF(COUNTIF($F$24:F25,1)&gt;0,M23+1,0))</x:f>
        <x:v>0</x:v>
      </x:c>
      <x:c r="N25" s="2" t="n">
        <x:f>IF($A25="",0,IF(COUNTIF($F$24:F25,2)&gt;0,N23+1,0))</x:f>
        <x:v>1</x:v>
      </x:c>
      <x:c r="O25" s="2" t="n">
        <x:f>IF($A25="",0,IF(COUNTIF($F$24:F25,3)&gt;0,O23+1,0))</x:f>
        <x:v>0</x:v>
      </x:c>
      <x:c r="P25" s="2" t="n">
        <x:f>IF($A25="",0,IF(COUNTIF($F$24:F25,4)&gt;0,P23+1,0))</x:f>
        <x:v>1</x:v>
      </x:c>
      <x:c r="Q25" s="2" t="n">
        <x:f>IF($A25="",0,IF(COUNTIF($F$24:F25,5)&gt;0,Q23+1,0))</x:f>
        <x:v>0</x:v>
      </x:c>
      <x:c r="R25" s="2" t="n">
        <x:f>IF($A25="",0,IF(COUNTIF($F$24:F25,6)&gt;0,R23+1,0))</x:f>
        <x:v>0</x:v>
      </x:c>
    </x:row>
    <x:row r="26" ht="24" customHeight="1">
      <x:c r="A26" s="15" t="n">
        <x:f>'設定'!F16</x:f>
        <x:v>46270</x:v>
      </x:c>
      <x:c r="B26" s="2" t="n">
        <x:f>5</x:f>
        <x:v>5</x:v>
      </x:c>
      <x:c r="C26" s="2" t="str">
        <x:f>"遅"</x:f>
        <x:v>遅</x:v>
      </x:c>
      <x:c r="D26" s="2" t="n">
        <x:f>IF(AND('設定'!$B$21="入力OK",'設定'!F16&lt;&gt;"",'設定'!F18&gt;=1),1,0)</x:f>
        <x:v>1</x:v>
      </x:c>
      <x:c r="E26" s="2" t="str">
        <x:f>IF(D26=0,"",IF(F26=0,"不足",INDEX('設定'!$B$7:$B$12,F26)))</x:f>
        <x:v>スタッフC</x:v>
      </x:c>
      <x:c r="F26" s="2" t="n">
        <x:f>IF(D26=0,"",IF(MIN(G26:L26)&gt;=1000000,0,MATCH(MIN(G26:L26),G26:L26,0)))</x:f>
        <x:v>3</x:v>
      </x:c>
      <x:c r="G26" s="2" t="n">
        <x:f>IF(OR($D26=0,INDEX('希望休'!$B$7:$AF$12,1,$B26)&lt;&gt;"可",COUNTIFS($A$7:A25,$A26,$F$7:F25,1)&gt;0,COUNTIF($F$7:F25,1)&gt;='設定'!C7,M23&gt;='設定'!D7),1000000,COUNTIF($F$7:F25,1)*100+MOD(0+5+'設定'!$F$3,6))</x:f>
        <x:v>305</x:v>
      </x:c>
      <x:c r="H26" s="2" t="n">
        <x:f>IF(OR($D26=0,INDEX('希望休'!$B$7:$AF$12,2,$B26)&lt;&gt;"可",COUNTIFS($A$7:A25,$A26,$F$7:F25,2)&gt;0,COUNTIF($F$7:F25,2)&gt;='設定'!C8,N23&gt;='設定'!D8),1000000,COUNTIF($F$7:F25,2)*100+MOD(1+5+'設定'!$F$3,6))</x:f>
        <x:v>1000000</x:v>
      </x:c>
      <x:c r="I26" s="2" t="n">
        <x:f>IF(OR($D26=0,INDEX('希望休'!$B$7:$AF$12,3,$B26)&lt;&gt;"可",COUNTIFS($A$7:A25,$A26,$F$7:F25,3)&gt;0,COUNTIF($F$7:F25,3)&gt;='設定'!C9,O23&gt;='設定'!D9),1000000,COUNTIF($F$7:F25,3)*100+MOD(2+5+'設定'!$F$3,6))</x:f>
        <x:v>301</x:v>
      </x:c>
      <x:c r="J26" s="2" t="n">
        <x:f>IF(OR($D26=0,INDEX('希望休'!$B$7:$AF$12,4,$B26)&lt;&gt;"可",COUNTIFS($A$7:A25,$A26,$F$7:F25,4)&gt;0,COUNTIF($F$7:F25,4)&gt;='設定'!C10,P23&gt;='設定'!D10),1000000,COUNTIF($F$7:F25,4)*100+MOD(3+5+'設定'!$F$3,6))</x:f>
        <x:v>1000000</x:v>
      </x:c>
      <x:c r="K26" s="2" t="n">
        <x:f>IF(OR($D26=0,INDEX('希望休'!$B$7:$AF$12,5,$B26)&lt;&gt;"可",COUNTIFS($A$7:A25,$A26,$F$7:F25,5)&gt;0,COUNTIF($F$7:F25,5)&gt;='設定'!C11,Q23&gt;='設定'!D11),1000000,COUNTIF($F$7:F25,5)*100+MOD(4+5+'設定'!$F$3,6))</x:f>
        <x:v>1000000</x:v>
      </x:c>
      <x:c r="L26" s="2" t="n">
        <x:f>IF(OR($D26=0,INDEX('希望休'!$B$7:$AF$12,6,$B26)&lt;&gt;"可",COUNTIFS($A$7:A25,$A26,$F$7:F25,6)&gt;0,COUNTIF($F$7:F25,6)&gt;='設定'!C12,R23&gt;='設定'!D12),1000000,COUNTIF($F$7:F25,6)*100+MOD(5+5+'設定'!$F$3,6))</x:f>
        <x:v>304</x:v>
      </x:c>
      <x:c r="M26" s="2" t="n">
        <x:f>IF($A26="",0,IF(COUNTIF($F$24:F26,1)&gt;0,M23+1,0))</x:f>
        <x:v>0</x:v>
      </x:c>
      <x:c r="N26" s="2" t="n">
        <x:f>IF($A26="",0,IF(COUNTIF($F$24:F26,2)&gt;0,N23+1,0))</x:f>
        <x:v>1</x:v>
      </x:c>
      <x:c r="O26" s="2" t="n">
        <x:f>IF($A26="",0,IF(COUNTIF($F$24:F26,3)&gt;0,O23+1,0))</x:f>
        <x:v>2</x:v>
      </x:c>
      <x:c r="P26" s="2" t="n">
        <x:f>IF($A26="",0,IF(COUNTIF($F$24:F26,4)&gt;0,P23+1,0))</x:f>
        <x:v>1</x:v>
      </x:c>
      <x:c r="Q26" s="2" t="n">
        <x:f>IF($A26="",0,IF(COUNTIF($F$24:F26,5)&gt;0,Q23+1,0))</x:f>
        <x:v>0</x:v>
      </x:c>
      <x:c r="R26" s="2" t="n">
        <x:f>IF($A26="",0,IF(COUNTIF($F$24:F26,6)&gt;0,R23+1,0))</x:f>
        <x:v>0</x:v>
      </x:c>
    </x:row>
    <x:row r="27" ht="24" customHeight="1">
      <x:c r="A27" s="15" t="n">
        <x:f>'設定'!F16</x:f>
        <x:v>46270</x:v>
      </x:c>
      <x:c r="B27" s="2" t="n">
        <x:f>5</x:f>
        <x:v>5</x:v>
      </x:c>
      <x:c r="C27" s="2" t="str">
        <x:f>"遅"</x:f>
        <x:v>遅</x:v>
      </x:c>
      <x:c r="D27" s="2" t="n">
        <x:f>IF(AND('設定'!$B$21="入力OK",'設定'!F16&lt;&gt;"",'設定'!F18&gt;=2),1,0)</x:f>
        <x:v>1</x:v>
      </x:c>
      <x:c r="E27" s="2" t="str">
        <x:f>IF(D27=0,"",IF(F27=0,"不足",INDEX('設定'!$B$7:$B$12,F27)))</x:f>
        <x:v>スタッフF</x:v>
      </x:c>
      <x:c r="F27" s="2" t="n">
        <x:f>IF(D27=0,"",IF(MIN(G27:L27)&gt;=1000000,0,MATCH(MIN(G27:L27),G27:L27,0)))</x:f>
        <x:v>6</x:v>
      </x:c>
      <x:c r="G27" s="2" t="n">
        <x:f>IF(OR($D27=0,INDEX('希望休'!$B$7:$AF$12,1,$B27)&lt;&gt;"可",COUNTIFS($A$7:A26,$A27,$F$7:F26,1)&gt;0,COUNTIF($F$7:F26,1)&gt;='設定'!C7,M23&gt;='設定'!D7),1000000,COUNTIF($F$7:F26,1)*100+MOD(0+5+'設定'!$F$3,6))</x:f>
        <x:v>305</x:v>
      </x:c>
      <x:c r="H27" s="2" t="n">
        <x:f>IF(OR($D27=0,INDEX('希望休'!$B$7:$AF$12,2,$B27)&lt;&gt;"可",COUNTIFS($A$7:A26,$A27,$F$7:F26,2)&gt;0,COUNTIF($F$7:F26,2)&gt;='設定'!C8,N23&gt;='設定'!D8),1000000,COUNTIF($F$7:F26,2)*100+MOD(1+5+'設定'!$F$3,6))</x:f>
        <x:v>1000000</x:v>
      </x:c>
      <x:c r="I27" s="2" t="n">
        <x:f>IF(OR($D27=0,INDEX('希望休'!$B$7:$AF$12,3,$B27)&lt;&gt;"可",COUNTIFS($A$7:A26,$A27,$F$7:F26,3)&gt;0,COUNTIF($F$7:F26,3)&gt;='設定'!C9,O23&gt;='設定'!D9),1000000,COUNTIF($F$7:F26,3)*100+MOD(2+5+'設定'!$F$3,6))</x:f>
        <x:v>1000000</x:v>
      </x:c>
      <x:c r="J27" s="2" t="n">
        <x:f>IF(OR($D27=0,INDEX('希望休'!$B$7:$AF$12,4,$B27)&lt;&gt;"可",COUNTIFS($A$7:A26,$A27,$F$7:F26,4)&gt;0,COUNTIF($F$7:F26,4)&gt;='設定'!C10,P23&gt;='設定'!D10),1000000,COUNTIF($F$7:F26,4)*100+MOD(3+5+'設定'!$F$3,6))</x:f>
        <x:v>1000000</x:v>
      </x:c>
      <x:c r="K27" s="2" t="n">
        <x:f>IF(OR($D27=0,INDEX('希望休'!$B$7:$AF$12,5,$B27)&lt;&gt;"可",COUNTIFS($A$7:A26,$A27,$F$7:F26,5)&gt;0,COUNTIF($F$7:F26,5)&gt;='設定'!C11,Q23&gt;='設定'!D11),1000000,COUNTIF($F$7:F26,5)*100+MOD(4+5+'設定'!$F$3,6))</x:f>
        <x:v>1000000</x:v>
      </x:c>
      <x:c r="L27" s="2" t="n">
        <x:f>IF(OR($D27=0,INDEX('希望休'!$B$7:$AF$12,6,$B27)&lt;&gt;"可",COUNTIFS($A$7:A26,$A27,$F$7:F26,6)&gt;0,COUNTIF($F$7:F26,6)&gt;='設定'!C12,R23&gt;='設定'!D12),1000000,COUNTIF($F$7:F26,6)*100+MOD(5+5+'設定'!$F$3,6))</x:f>
        <x:v>304</x:v>
      </x:c>
      <x:c r="M27" s="2" t="n">
        <x:f>IF($A27="",0,IF(COUNTIF($F$24:F27,1)&gt;0,M23+1,0))</x:f>
        <x:v>0</x:v>
      </x:c>
      <x:c r="N27" s="2" t="n">
        <x:f>IF($A27="",0,IF(COUNTIF($F$24:F27,2)&gt;0,N23+1,0))</x:f>
        <x:v>1</x:v>
      </x:c>
      <x:c r="O27" s="2" t="n">
        <x:f>IF($A27="",0,IF(COUNTIF($F$24:F27,3)&gt;0,O23+1,0))</x:f>
        <x:v>2</x:v>
      </x:c>
      <x:c r="P27" s="2" t="n">
        <x:f>IF($A27="",0,IF(COUNTIF($F$24:F27,4)&gt;0,P23+1,0))</x:f>
        <x:v>1</x:v>
      </x:c>
      <x:c r="Q27" s="2" t="n">
        <x:f>IF($A27="",0,IF(COUNTIF($F$24:F27,5)&gt;0,Q23+1,0))</x:f>
        <x:v>0</x:v>
      </x:c>
      <x:c r="R27" s="2" t="n">
        <x:f>IF($A27="",0,IF(COUNTIF($F$24:F27,6)&gt;0,R23+1,0))</x:f>
        <x:v>2</x:v>
      </x:c>
    </x:row>
    <x:row r="28" ht="24" customHeight="1">
      <x:c r="A28" s="15" t="n">
        <x:f>'設定'!G16</x:f>
        <x:v>46271</x:v>
      </x:c>
      <x:c r="B28" s="2" t="n">
        <x:f>6</x:f>
        <x:v>6</x:v>
      </x:c>
      <x:c r="C28" s="2" t="str">
        <x:f>"早"</x:f>
        <x:v>早</x:v>
      </x:c>
      <x:c r="D28" s="2" t="n">
        <x:f>IF(AND('設定'!$B$21="入力OK",'設定'!G16&lt;&gt;"",'設定'!G17&gt;=1),1,0)</x:f>
        <x:v>1</x:v>
      </x:c>
      <x:c r="E28" s="2" t="str">
        <x:f>IF(D28=0,"",IF(F28=0,"不足",INDEX('設定'!$B$7:$B$12,F28)))</x:f>
        <x:v>スタッフA</x:v>
      </x:c>
      <x:c r="F28" s="2" t="n">
        <x:f>IF(D28=0,"",IF(MIN(G28:L28)&gt;=1000000,0,MATCH(MIN(G28:L28),G28:L28,0)))</x:f>
        <x:v>1</x:v>
      </x:c>
      <x:c r="G28" s="2" t="n">
        <x:f>IF(OR($D28=0,INDEX('希望休'!$B$7:$AF$12,1,$B28)&lt;&gt;"可",COUNTIFS($A$7:A27,$A28,$F$7:F27,1)&gt;0,COUNTIF($F$7:F27,1)&gt;='設定'!C7,M27&gt;='設定'!D7),1000000,COUNTIF($F$7:F27,1)*100+MOD(0+6+'設定'!$F$3,6))</x:f>
        <x:v>300</x:v>
      </x:c>
      <x:c r="H28" s="2" t="n">
        <x:f>IF(OR($D28=0,INDEX('希望休'!$B$7:$AF$12,2,$B28)&lt;&gt;"可",COUNTIFS($A$7:A27,$A28,$F$7:F27,2)&gt;0,COUNTIF($F$7:F27,2)&gt;='設定'!C8,N27&gt;='設定'!D8),1000000,COUNTIF($F$7:F27,2)*100+MOD(1+6+'設定'!$F$3,6))</x:f>
        <x:v>301</x:v>
      </x:c>
      <x:c r="I28" s="2" t="n">
        <x:f>IF(OR($D28=0,INDEX('希望休'!$B$7:$AF$12,3,$B28)&lt;&gt;"可",COUNTIFS($A$7:A27,$A28,$F$7:F27,3)&gt;0,COUNTIF($F$7:F27,3)&gt;='設定'!C9,O27&gt;='設定'!D9),1000000,COUNTIF($F$7:F27,3)*100+MOD(2+6+'設定'!$F$3,6))</x:f>
        <x:v>402</x:v>
      </x:c>
      <x:c r="J28" s="2" t="n">
        <x:f>IF(OR($D28=0,INDEX('希望休'!$B$7:$AF$12,4,$B28)&lt;&gt;"可",COUNTIFS($A$7:A27,$A28,$F$7:F27,4)&gt;0,COUNTIF($F$7:F27,4)&gt;='設定'!C10,P27&gt;='設定'!D10),1000000,COUNTIF($F$7:F27,4)*100+MOD(3+6+'設定'!$F$3,6))</x:f>
        <x:v>303</x:v>
      </x:c>
      <x:c r="K28" s="2" t="n">
        <x:f>IF(OR($D28=0,INDEX('希望休'!$B$7:$AF$12,5,$B28)&lt;&gt;"可",COUNTIFS($A$7:A27,$A28,$F$7:F27,5)&gt;0,COUNTIF($F$7:F27,5)&gt;='設定'!C11,Q27&gt;='設定'!D11),1000000,COUNTIF($F$7:F27,5)*100+MOD(4+6+'設定'!$F$3,6))</x:f>
        <x:v>304</x:v>
      </x:c>
      <x:c r="L28" s="2" t="n">
        <x:f>IF(OR($D28=0,INDEX('希望休'!$B$7:$AF$12,6,$B28)&lt;&gt;"可",COUNTIFS($A$7:A27,$A28,$F$7:F27,6)&gt;0,COUNTIF($F$7:F27,6)&gt;='設定'!C12,R27&gt;='設定'!D12),1000000,COUNTIF($F$7:F27,6)*100+MOD(5+6+'設定'!$F$3,6))</x:f>
        <x:v>1000000</x:v>
      </x:c>
      <x:c r="M28" s="2" t="n">
        <x:f>IF($A28="",0,IF(COUNTIF($F$28:F28,1)&gt;0,M27+1,0))</x:f>
        <x:v>1</x:v>
      </x:c>
      <x:c r="N28" s="2" t="n">
        <x:f>IF($A28="",0,IF(COUNTIF($F$28:F28,2)&gt;0,N27+1,0))</x:f>
        <x:v>0</x:v>
      </x:c>
      <x:c r="O28" s="2" t="n">
        <x:f>IF($A28="",0,IF(COUNTIF($F$28:F28,3)&gt;0,O27+1,0))</x:f>
        <x:v>0</x:v>
      </x:c>
      <x:c r="P28" s="2" t="n">
        <x:f>IF($A28="",0,IF(COUNTIF($F$28:F28,4)&gt;0,P27+1,0))</x:f>
        <x:v>0</x:v>
      </x:c>
      <x:c r="Q28" s="2" t="n">
        <x:f>IF($A28="",0,IF(COUNTIF($F$28:F28,5)&gt;0,Q27+1,0))</x:f>
        <x:v>0</x:v>
      </x:c>
      <x:c r="R28" s="2" t="n">
        <x:f>IF($A28="",0,IF(COUNTIF($F$28:F28,6)&gt;0,R27+1,0))</x:f>
        <x:v>0</x:v>
      </x:c>
    </x:row>
    <x:row r="29" ht="24" customHeight="1">
      <x:c r="A29" s="15" t="n">
        <x:f>'設定'!G16</x:f>
        <x:v>46271</x:v>
      </x:c>
      <x:c r="B29" s="2" t="n">
        <x:f>6</x:f>
        <x:v>6</x:v>
      </x:c>
      <x:c r="C29" s="2" t="str">
        <x:f>"早"</x:f>
        <x:v>早</x:v>
      </x:c>
      <x:c r="D29" s="2" t="n">
        <x:f>IF(AND('設定'!$B$21="入力OK",'設定'!G16&lt;&gt;"",'設定'!G17&gt;=2),1,0)</x:f>
        <x:v>1</x:v>
      </x:c>
      <x:c r="E29" s="2" t="str">
        <x:f>IF(D29=0,"",IF(F29=0,"不足",INDEX('設定'!$B$7:$B$12,F29)))</x:f>
        <x:v>スタッフB</x:v>
      </x:c>
      <x:c r="F29" s="2" t="n">
        <x:f>IF(D29=0,"",IF(MIN(G29:L29)&gt;=1000000,0,MATCH(MIN(G29:L29),G29:L29,0)))</x:f>
        <x:v>2</x:v>
      </x:c>
      <x:c r="G29" s="2" t="n">
        <x:f>IF(OR($D29=0,INDEX('希望休'!$B$7:$AF$12,1,$B29)&lt;&gt;"可",COUNTIFS($A$7:A28,$A29,$F$7:F28,1)&gt;0,COUNTIF($F$7:F28,1)&gt;='設定'!C7,M27&gt;='設定'!D7),1000000,COUNTIF($F$7:F28,1)*100+MOD(0+6+'設定'!$F$3,6))</x:f>
        <x:v>1000000</x:v>
      </x:c>
      <x:c r="H29" s="2" t="n">
        <x:f>IF(OR($D29=0,INDEX('希望休'!$B$7:$AF$12,2,$B29)&lt;&gt;"可",COUNTIFS($A$7:A28,$A29,$F$7:F28,2)&gt;0,COUNTIF($F$7:F28,2)&gt;='設定'!C8,N27&gt;='設定'!D8),1000000,COUNTIF($F$7:F28,2)*100+MOD(1+6+'設定'!$F$3,6))</x:f>
        <x:v>301</x:v>
      </x:c>
      <x:c r="I29" s="2" t="n">
        <x:f>IF(OR($D29=0,INDEX('希望休'!$B$7:$AF$12,3,$B29)&lt;&gt;"可",COUNTIFS($A$7:A28,$A29,$F$7:F28,3)&gt;0,COUNTIF($F$7:F28,3)&gt;='設定'!C9,O27&gt;='設定'!D9),1000000,COUNTIF($F$7:F28,3)*100+MOD(2+6+'設定'!$F$3,6))</x:f>
        <x:v>402</x:v>
      </x:c>
      <x:c r="J29" s="2" t="n">
        <x:f>IF(OR($D29=0,INDEX('希望休'!$B$7:$AF$12,4,$B29)&lt;&gt;"可",COUNTIFS($A$7:A28,$A29,$F$7:F28,4)&gt;0,COUNTIF($F$7:F28,4)&gt;='設定'!C10,P27&gt;='設定'!D10),1000000,COUNTIF($F$7:F28,4)*100+MOD(3+6+'設定'!$F$3,6))</x:f>
        <x:v>303</x:v>
      </x:c>
      <x:c r="K29" s="2" t="n">
        <x:f>IF(OR($D29=0,INDEX('希望休'!$B$7:$AF$12,5,$B29)&lt;&gt;"可",COUNTIFS($A$7:A28,$A29,$F$7:F28,5)&gt;0,COUNTIF($F$7:F28,5)&gt;='設定'!C11,Q27&gt;='設定'!D11),1000000,COUNTIF($F$7:F28,5)*100+MOD(4+6+'設定'!$F$3,6))</x:f>
        <x:v>304</x:v>
      </x:c>
      <x:c r="L29" s="2" t="n">
        <x:f>IF(OR($D29=0,INDEX('希望休'!$B$7:$AF$12,6,$B29)&lt;&gt;"可",COUNTIFS($A$7:A28,$A29,$F$7:F28,6)&gt;0,COUNTIF($F$7:F28,6)&gt;='設定'!C12,R27&gt;='設定'!D12),1000000,COUNTIF($F$7:F28,6)*100+MOD(5+6+'設定'!$F$3,6))</x:f>
        <x:v>1000000</x:v>
      </x:c>
      <x:c r="M29" s="2" t="n">
        <x:f>IF($A29="",0,IF(COUNTIF($F$28:F29,1)&gt;0,M27+1,0))</x:f>
        <x:v>1</x:v>
      </x:c>
      <x:c r="N29" s="2" t="n">
        <x:f>IF($A29="",0,IF(COUNTIF($F$28:F29,2)&gt;0,N27+1,0))</x:f>
        <x:v>2</x:v>
      </x:c>
      <x:c r="O29" s="2" t="n">
        <x:f>IF($A29="",0,IF(COUNTIF($F$28:F29,3)&gt;0,O27+1,0))</x:f>
        <x:v>0</x:v>
      </x:c>
      <x:c r="P29" s="2" t="n">
        <x:f>IF($A29="",0,IF(COUNTIF($F$28:F29,4)&gt;0,P27+1,0))</x:f>
        <x:v>0</x:v>
      </x:c>
      <x:c r="Q29" s="2" t="n">
        <x:f>IF($A29="",0,IF(COUNTIF($F$28:F29,5)&gt;0,Q27+1,0))</x:f>
        <x:v>0</x:v>
      </x:c>
      <x:c r="R29" s="2" t="n">
        <x:f>IF($A29="",0,IF(COUNTIF($F$28:F29,6)&gt;0,R27+1,0))</x:f>
        <x:v>0</x:v>
      </x:c>
    </x:row>
    <x:row r="30" ht="24" customHeight="1">
      <x:c r="A30" s="15" t="n">
        <x:f>'設定'!G16</x:f>
        <x:v>46271</x:v>
      </x:c>
      <x:c r="B30" s="2" t="n">
        <x:f>6</x:f>
        <x:v>6</x:v>
      </x:c>
      <x:c r="C30" s="2" t="str">
        <x:f>"遅"</x:f>
        <x:v>遅</x:v>
      </x:c>
      <x:c r="D30" s="2" t="n">
        <x:f>IF(AND('設定'!$B$21="入力OK",'設定'!G16&lt;&gt;"",'設定'!G18&gt;=1),1,0)</x:f>
        <x:v>1</x:v>
      </x:c>
      <x:c r="E30" s="2" t="str">
        <x:f>IF(D30=0,"",IF(F30=0,"不足",INDEX('設定'!$B$7:$B$12,F30)))</x:f>
        <x:v>スタッフD</x:v>
      </x:c>
      <x:c r="F30" s="2" t="n">
        <x:f>IF(D30=0,"",IF(MIN(G30:L30)&gt;=1000000,0,MATCH(MIN(G30:L30),G30:L30,0)))</x:f>
        <x:v>4</x:v>
      </x:c>
      <x:c r="G30" s="2" t="n">
        <x:f>IF(OR($D30=0,INDEX('希望休'!$B$7:$AF$12,1,$B30)&lt;&gt;"可",COUNTIFS($A$7:A29,$A30,$F$7:F29,1)&gt;0,COUNTIF($F$7:F29,1)&gt;='設定'!C7,M27&gt;='設定'!D7),1000000,COUNTIF($F$7:F29,1)*100+MOD(0+6+'設定'!$F$3,6))</x:f>
        <x:v>1000000</x:v>
      </x:c>
      <x:c r="H30" s="2" t="n">
        <x:f>IF(OR($D30=0,INDEX('希望休'!$B$7:$AF$12,2,$B30)&lt;&gt;"可",COUNTIFS($A$7:A29,$A30,$F$7:F29,2)&gt;0,COUNTIF($F$7:F29,2)&gt;='設定'!C8,N27&gt;='設定'!D8),1000000,COUNTIF($F$7:F29,2)*100+MOD(1+6+'設定'!$F$3,6))</x:f>
        <x:v>1000000</x:v>
      </x:c>
      <x:c r="I30" s="2" t="n">
        <x:f>IF(OR($D30=0,INDEX('希望休'!$B$7:$AF$12,3,$B30)&lt;&gt;"可",COUNTIFS($A$7:A29,$A30,$F$7:F29,3)&gt;0,COUNTIF($F$7:F29,3)&gt;='設定'!C9,O27&gt;='設定'!D9),1000000,COUNTIF($F$7:F29,3)*100+MOD(2+6+'設定'!$F$3,6))</x:f>
        <x:v>402</x:v>
      </x:c>
      <x:c r="J30" s="2" t="n">
        <x:f>IF(OR($D30=0,INDEX('希望休'!$B$7:$AF$12,4,$B30)&lt;&gt;"可",COUNTIFS($A$7:A29,$A30,$F$7:F29,4)&gt;0,COUNTIF($F$7:F29,4)&gt;='設定'!C10,P27&gt;='設定'!D10),1000000,COUNTIF($F$7:F29,4)*100+MOD(3+6+'設定'!$F$3,6))</x:f>
        <x:v>303</x:v>
      </x:c>
      <x:c r="K30" s="2" t="n">
        <x:f>IF(OR($D30=0,INDEX('希望休'!$B$7:$AF$12,5,$B30)&lt;&gt;"可",COUNTIFS($A$7:A29,$A30,$F$7:F29,5)&gt;0,COUNTIF($F$7:F29,5)&gt;='設定'!C11,Q27&gt;='設定'!D11),1000000,COUNTIF($F$7:F29,5)*100+MOD(4+6+'設定'!$F$3,6))</x:f>
        <x:v>304</x:v>
      </x:c>
      <x:c r="L30" s="2" t="n">
        <x:f>IF(OR($D30=0,INDEX('希望休'!$B$7:$AF$12,6,$B30)&lt;&gt;"可",COUNTIFS($A$7:A29,$A30,$F$7:F29,6)&gt;0,COUNTIF($F$7:F29,6)&gt;='設定'!C12,R27&gt;='設定'!D12),1000000,COUNTIF($F$7:F29,6)*100+MOD(5+6+'設定'!$F$3,6))</x:f>
        <x:v>1000000</x:v>
      </x:c>
      <x:c r="M30" s="2" t="n">
        <x:f>IF($A30="",0,IF(COUNTIF($F$28:F30,1)&gt;0,M27+1,0))</x:f>
        <x:v>1</x:v>
      </x:c>
      <x:c r="N30" s="2" t="n">
        <x:f>IF($A30="",0,IF(COUNTIF($F$28:F30,2)&gt;0,N27+1,0))</x:f>
        <x:v>2</x:v>
      </x:c>
      <x:c r="O30" s="2" t="n">
        <x:f>IF($A30="",0,IF(COUNTIF($F$28:F30,3)&gt;0,O27+1,0))</x:f>
        <x:v>0</x:v>
      </x:c>
      <x:c r="P30" s="2" t="n">
        <x:f>IF($A30="",0,IF(COUNTIF($F$28:F30,4)&gt;0,P27+1,0))</x:f>
        <x:v>2</x:v>
      </x:c>
      <x:c r="Q30" s="2" t="n">
        <x:f>IF($A30="",0,IF(COUNTIF($F$28:F30,5)&gt;0,Q27+1,0))</x:f>
        <x:v>0</x:v>
      </x:c>
      <x:c r="R30" s="2" t="n">
        <x:f>IF($A30="",0,IF(COUNTIF($F$28:F30,6)&gt;0,R27+1,0))</x:f>
        <x:v>0</x:v>
      </x:c>
    </x:row>
    <x:row r="31" ht="24" customHeight="1">
      <x:c r="A31" s="15" t="n">
        <x:f>'設定'!G16</x:f>
        <x:v>46271</x:v>
      </x:c>
      <x:c r="B31" s="2" t="n">
        <x:f>6</x:f>
        <x:v>6</x:v>
      </x:c>
      <x:c r="C31" s="2" t="str">
        <x:f>"遅"</x:f>
        <x:v>遅</x:v>
      </x:c>
      <x:c r="D31" s="2" t="n">
        <x:f>IF(AND('設定'!$B$21="入力OK",'設定'!G16&lt;&gt;"",'設定'!G18&gt;=2),1,0)</x:f>
        <x:v>1</x:v>
      </x:c>
      <x:c r="E31" s="2" t="str">
        <x:f>IF(D31=0,"",IF(F31=0,"不足",INDEX('設定'!$B$7:$B$12,F31)))</x:f>
        <x:v>スタッフE</x:v>
      </x:c>
      <x:c r="F31" s="2" t="n">
        <x:f>IF(D31=0,"",IF(MIN(G31:L31)&gt;=1000000,0,MATCH(MIN(G31:L31),G31:L31,0)))</x:f>
        <x:v>5</x:v>
      </x:c>
      <x:c r="G31" s="2" t="n">
        <x:f>IF(OR($D31=0,INDEX('希望休'!$B$7:$AF$12,1,$B31)&lt;&gt;"可",COUNTIFS($A$7:A30,$A31,$F$7:F30,1)&gt;0,COUNTIF($F$7:F30,1)&gt;='設定'!C7,M27&gt;='設定'!D7),1000000,COUNTIF($F$7:F30,1)*100+MOD(0+6+'設定'!$F$3,6))</x:f>
        <x:v>1000000</x:v>
      </x:c>
      <x:c r="H31" s="2" t="n">
        <x:f>IF(OR($D31=0,INDEX('希望休'!$B$7:$AF$12,2,$B31)&lt;&gt;"可",COUNTIFS($A$7:A30,$A31,$F$7:F30,2)&gt;0,COUNTIF($F$7:F30,2)&gt;='設定'!C8,N27&gt;='設定'!D8),1000000,COUNTIF($F$7:F30,2)*100+MOD(1+6+'設定'!$F$3,6))</x:f>
        <x:v>1000000</x:v>
      </x:c>
      <x:c r="I31" s="2" t="n">
        <x:f>IF(OR($D31=0,INDEX('希望休'!$B$7:$AF$12,3,$B31)&lt;&gt;"可",COUNTIFS($A$7:A30,$A31,$F$7:F30,3)&gt;0,COUNTIF($F$7:F30,3)&gt;='設定'!C9,O27&gt;='設定'!D9),1000000,COUNTIF($F$7:F30,3)*100+MOD(2+6+'設定'!$F$3,6))</x:f>
        <x:v>402</x:v>
      </x:c>
      <x:c r="J31" s="2" t="n">
        <x:f>IF(OR($D31=0,INDEX('希望休'!$B$7:$AF$12,4,$B31)&lt;&gt;"可",COUNTIFS($A$7:A30,$A31,$F$7:F30,4)&gt;0,COUNTIF($F$7:F30,4)&gt;='設定'!C10,P27&gt;='設定'!D10),1000000,COUNTIF($F$7:F30,4)*100+MOD(3+6+'設定'!$F$3,6))</x:f>
        <x:v>1000000</x:v>
      </x:c>
      <x:c r="K31" s="2" t="n">
        <x:f>IF(OR($D31=0,INDEX('希望休'!$B$7:$AF$12,5,$B31)&lt;&gt;"可",COUNTIFS($A$7:A30,$A31,$F$7:F30,5)&gt;0,COUNTIF($F$7:F30,5)&gt;='設定'!C11,Q27&gt;='設定'!D11),1000000,COUNTIF($F$7:F30,5)*100+MOD(4+6+'設定'!$F$3,6))</x:f>
        <x:v>304</x:v>
      </x:c>
      <x:c r="L31" s="2" t="n">
        <x:f>IF(OR($D31=0,INDEX('希望休'!$B$7:$AF$12,6,$B31)&lt;&gt;"可",COUNTIFS($A$7:A30,$A31,$F$7:F30,6)&gt;0,COUNTIF($F$7:F30,6)&gt;='設定'!C12,R27&gt;='設定'!D12),1000000,COUNTIF($F$7:F30,6)*100+MOD(5+6+'設定'!$F$3,6))</x:f>
        <x:v>1000000</x:v>
      </x:c>
      <x:c r="M31" s="2" t="n">
        <x:f>IF($A31="",0,IF(COUNTIF($F$28:F31,1)&gt;0,M27+1,0))</x:f>
        <x:v>1</x:v>
      </x:c>
      <x:c r="N31" s="2" t="n">
        <x:f>IF($A31="",0,IF(COUNTIF($F$28:F31,2)&gt;0,N27+1,0))</x:f>
        <x:v>2</x:v>
      </x:c>
      <x:c r="O31" s="2" t="n">
        <x:f>IF($A31="",0,IF(COUNTIF($F$28:F31,3)&gt;0,O27+1,0))</x:f>
        <x:v>0</x:v>
      </x:c>
      <x:c r="P31" s="2" t="n">
        <x:f>IF($A31="",0,IF(COUNTIF($F$28:F31,4)&gt;0,P27+1,0))</x:f>
        <x:v>2</x:v>
      </x:c>
      <x:c r="Q31" s="2" t="n">
        <x:f>IF($A31="",0,IF(COUNTIF($F$28:F31,5)&gt;0,Q27+1,0))</x:f>
        <x:v>1</x:v>
      </x:c>
      <x:c r="R31" s="2" t="n">
        <x:f>IF($A31="",0,IF(COUNTIF($F$28:F31,6)&gt;0,R27+1,0))</x:f>
        <x:v>0</x:v>
      </x:c>
    </x:row>
    <x:row r="32" ht="24" customHeight="1">
      <x:c r="A32" s="15" t="n">
        <x:f>'設定'!H16</x:f>
        <x:v>46272</x:v>
      </x:c>
      <x:c r="B32" s="2" t="n">
        <x:f>7</x:f>
        <x:v>7</x:v>
      </x:c>
      <x:c r="C32" s="2" t="str">
        <x:f>"早"</x:f>
        <x:v>早</x:v>
      </x:c>
      <x:c r="D32" s="2" t="n">
        <x:f>IF(AND('設定'!$B$21="入力OK",'設定'!H16&lt;&gt;"",'設定'!H17&gt;=1),1,0)</x:f>
        <x:v>1</x:v>
      </x:c>
      <x:c r="E32" s="2" t="str">
        <x:f>IF(D32=0,"",IF(F32=0,"不足",INDEX('設定'!$B$7:$B$12,F32)))</x:f>
        <x:v>スタッフF</x:v>
      </x:c>
      <x:c r="F32" s="2" t="n">
        <x:f>IF(D32=0,"",IF(MIN(G32:L32)&gt;=1000000,0,MATCH(MIN(G32:L32),G32:L32,0)))</x:f>
        <x:v>6</x:v>
      </x:c>
      <x:c r="G32" s="2" t="n">
        <x:f>IF(OR($D32=0,INDEX('希望休'!$B$7:$AF$12,1,$B32)&lt;&gt;"可",COUNTIFS($A$7:A31,$A32,$F$7:F31,1)&gt;0,COUNTIF($F$7:F31,1)&gt;='設定'!C7,M31&gt;='設定'!D7),1000000,COUNTIF($F$7:F31,1)*100+MOD(0+7+'設定'!$F$3,6))</x:f>
        <x:v>401</x:v>
      </x:c>
      <x:c r="H32" s="2" t="n">
        <x:f>IF(OR($D32=0,INDEX('希望休'!$B$7:$AF$12,2,$B32)&lt;&gt;"可",COUNTIFS($A$7:A31,$A32,$F$7:F31,2)&gt;0,COUNTIF($F$7:F31,2)&gt;='設定'!C8,N31&gt;='設定'!D8),1000000,COUNTIF($F$7:F31,2)*100+MOD(1+7+'設定'!$F$3,6))</x:f>
        <x:v>402</x:v>
      </x:c>
      <x:c r="I32" s="2" t="n">
        <x:f>IF(OR($D32=0,INDEX('希望休'!$B$7:$AF$12,3,$B32)&lt;&gt;"可",COUNTIFS($A$7:A31,$A32,$F$7:F31,3)&gt;0,COUNTIF($F$7:F31,3)&gt;='設定'!C9,O31&gt;='設定'!D9),1000000,COUNTIF($F$7:F31,3)*100+MOD(2+7+'設定'!$F$3,6))</x:f>
        <x:v>403</x:v>
      </x:c>
      <x:c r="J32" s="2" t="n">
        <x:f>IF(OR($D32=0,INDEX('希望休'!$B$7:$AF$12,4,$B32)&lt;&gt;"可",COUNTIFS($A$7:A31,$A32,$F$7:F31,4)&gt;0,COUNTIF($F$7:F31,4)&gt;='設定'!C10,P31&gt;='設定'!D10),1000000,COUNTIF($F$7:F31,4)*100+MOD(3+7+'設定'!$F$3,6))</x:f>
        <x:v>404</x:v>
      </x:c>
      <x:c r="K32" s="2" t="n">
        <x:f>IF(OR($D32=0,INDEX('希望休'!$B$7:$AF$12,5,$B32)&lt;&gt;"可",COUNTIFS($A$7:A31,$A32,$F$7:F31,5)&gt;0,COUNTIF($F$7:F31,5)&gt;='設定'!C11,Q31&gt;='設定'!D11),1000000,COUNTIF($F$7:F31,5)*100+MOD(4+7+'設定'!$F$3,6))</x:f>
        <x:v>405</x:v>
      </x:c>
      <x:c r="L32" s="2" t="n">
        <x:f>IF(OR($D32=0,INDEX('希望休'!$B$7:$AF$12,6,$B32)&lt;&gt;"可",COUNTIFS($A$7:A31,$A32,$F$7:F31,6)&gt;0,COUNTIF($F$7:F31,6)&gt;='設定'!C12,R31&gt;='設定'!D12),1000000,COUNTIF($F$7:F31,6)*100+MOD(5+7+'設定'!$F$3,6))</x:f>
        <x:v>400</x:v>
      </x:c>
      <x:c r="M32" s="2" t="n">
        <x:f>IF($A32="",0,IF(COUNTIF($F$32:F32,1)&gt;0,M31+1,0))</x:f>
        <x:v>0</x:v>
      </x:c>
      <x:c r="N32" s="2" t="n">
        <x:f>IF($A32="",0,IF(COUNTIF($F$32:F32,2)&gt;0,N31+1,0))</x:f>
        <x:v>0</x:v>
      </x:c>
      <x:c r="O32" s="2" t="n">
        <x:f>IF($A32="",0,IF(COUNTIF($F$32:F32,3)&gt;0,O31+1,0))</x:f>
        <x:v>0</x:v>
      </x:c>
      <x:c r="P32" s="2" t="n">
        <x:f>IF($A32="",0,IF(COUNTIF($F$32:F32,4)&gt;0,P31+1,0))</x:f>
        <x:v>0</x:v>
      </x:c>
      <x:c r="Q32" s="2" t="n">
        <x:f>IF($A32="",0,IF(COUNTIF($F$32:F32,5)&gt;0,Q31+1,0))</x:f>
        <x:v>0</x:v>
      </x:c>
      <x:c r="R32" s="2" t="n">
        <x:f>IF($A32="",0,IF(COUNTIF($F$32:F32,6)&gt;0,R31+1,0))</x:f>
        <x:v>1</x:v>
      </x:c>
    </x:row>
    <x:row r="33" ht="24" customHeight="1">
      <x:c r="A33" s="15" t="n">
        <x:f>'設定'!H16</x:f>
        <x:v>46272</x:v>
      </x:c>
      <x:c r="B33" s="2" t="n">
        <x:f>7</x:f>
        <x:v>7</x:v>
      </x:c>
      <x:c r="C33" s="2" t="str">
        <x:f>"早"</x:f>
        <x:v>早</x:v>
      </x:c>
      <x:c r="D33" s="2" t="n">
        <x:f>IF(AND('設定'!$B$21="入力OK",'設定'!H16&lt;&gt;"",'設定'!H17&gt;=2),1,0)</x:f>
        <x:v>1</x:v>
      </x:c>
      <x:c r="E33" s="2" t="str">
        <x:f>IF(D33=0,"",IF(F33=0,"不足",INDEX('設定'!$B$7:$B$12,F33)))</x:f>
        <x:v>スタッフA</x:v>
      </x:c>
      <x:c r="F33" s="2" t="n">
        <x:f>IF(D33=0,"",IF(MIN(G33:L33)&gt;=1000000,0,MATCH(MIN(G33:L33),G33:L33,0)))</x:f>
        <x:v>1</x:v>
      </x:c>
      <x:c r="G33" s="2" t="n">
        <x:f>IF(OR($D33=0,INDEX('希望休'!$B$7:$AF$12,1,$B33)&lt;&gt;"可",COUNTIFS($A$7:A32,$A33,$F$7:F32,1)&gt;0,COUNTIF($F$7:F32,1)&gt;='設定'!C7,M31&gt;='設定'!D7),1000000,COUNTIF($F$7:F32,1)*100+MOD(0+7+'設定'!$F$3,6))</x:f>
        <x:v>401</x:v>
      </x:c>
      <x:c r="H33" s="2" t="n">
        <x:f>IF(OR($D33=0,INDEX('希望休'!$B$7:$AF$12,2,$B33)&lt;&gt;"可",COUNTIFS($A$7:A32,$A33,$F$7:F32,2)&gt;0,COUNTIF($F$7:F32,2)&gt;='設定'!C8,N31&gt;='設定'!D8),1000000,COUNTIF($F$7:F32,2)*100+MOD(1+7+'設定'!$F$3,6))</x:f>
        <x:v>402</x:v>
      </x:c>
      <x:c r="I33" s="2" t="n">
        <x:f>IF(OR($D33=0,INDEX('希望休'!$B$7:$AF$12,3,$B33)&lt;&gt;"可",COUNTIFS($A$7:A32,$A33,$F$7:F32,3)&gt;0,COUNTIF($F$7:F32,3)&gt;='設定'!C9,O31&gt;='設定'!D9),1000000,COUNTIF($F$7:F32,3)*100+MOD(2+7+'設定'!$F$3,6))</x:f>
        <x:v>403</x:v>
      </x:c>
      <x:c r="J33" s="2" t="n">
        <x:f>IF(OR($D33=0,INDEX('希望休'!$B$7:$AF$12,4,$B33)&lt;&gt;"可",COUNTIFS($A$7:A32,$A33,$F$7:F32,4)&gt;0,COUNTIF($F$7:F32,4)&gt;='設定'!C10,P31&gt;='設定'!D10),1000000,COUNTIF($F$7:F32,4)*100+MOD(3+7+'設定'!$F$3,6))</x:f>
        <x:v>404</x:v>
      </x:c>
      <x:c r="K33" s="2" t="n">
        <x:f>IF(OR($D33=0,INDEX('希望休'!$B$7:$AF$12,5,$B33)&lt;&gt;"可",COUNTIFS($A$7:A32,$A33,$F$7:F32,5)&gt;0,COUNTIF($F$7:F32,5)&gt;='設定'!C11,Q31&gt;='設定'!D11),1000000,COUNTIF($F$7:F32,5)*100+MOD(4+7+'設定'!$F$3,6))</x:f>
        <x:v>405</x:v>
      </x:c>
      <x:c r="L33" s="2" t="n">
        <x:f>IF(OR($D33=0,INDEX('希望休'!$B$7:$AF$12,6,$B33)&lt;&gt;"可",COUNTIFS($A$7:A32,$A33,$F$7:F32,6)&gt;0,COUNTIF($F$7:F32,6)&gt;='設定'!C12,R31&gt;='設定'!D12),1000000,COUNTIF($F$7:F32,6)*100+MOD(5+7+'設定'!$F$3,6))</x:f>
        <x:v>1000000</x:v>
      </x:c>
      <x:c r="M33" s="2" t="n">
        <x:f>IF($A33="",0,IF(COUNTIF($F$32:F33,1)&gt;0,M31+1,0))</x:f>
        <x:v>2</x:v>
      </x:c>
      <x:c r="N33" s="2" t="n">
        <x:f>IF($A33="",0,IF(COUNTIF($F$32:F33,2)&gt;0,N31+1,0))</x:f>
        <x:v>0</x:v>
      </x:c>
      <x:c r="O33" s="2" t="n">
        <x:f>IF($A33="",0,IF(COUNTIF($F$32:F33,3)&gt;0,O31+1,0))</x:f>
        <x:v>0</x:v>
      </x:c>
      <x:c r="P33" s="2" t="n">
        <x:f>IF($A33="",0,IF(COUNTIF($F$32:F33,4)&gt;0,P31+1,0))</x:f>
        <x:v>0</x:v>
      </x:c>
      <x:c r="Q33" s="2" t="n">
        <x:f>IF($A33="",0,IF(COUNTIF($F$32:F33,5)&gt;0,Q31+1,0))</x:f>
        <x:v>0</x:v>
      </x:c>
      <x:c r="R33" s="2" t="n">
        <x:f>IF($A33="",0,IF(COUNTIF($F$32:F33,6)&gt;0,R31+1,0))</x:f>
        <x:v>1</x:v>
      </x:c>
    </x:row>
    <x:row r="34" ht="24" customHeight="1">
      <x:c r="A34" s="15" t="n">
        <x:f>'設定'!H16</x:f>
        <x:v>46272</x:v>
      </x:c>
      <x:c r="B34" s="2" t="n">
        <x:f>7</x:f>
        <x:v>7</x:v>
      </x:c>
      <x:c r="C34" s="2" t="str">
        <x:f>"遅"</x:f>
        <x:v>遅</x:v>
      </x:c>
      <x:c r="D34" s="2" t="n">
        <x:f>IF(AND('設定'!$B$21="入力OK",'設定'!H16&lt;&gt;"",'設定'!H18&gt;=1),1,0)</x:f>
        <x:v>1</x:v>
      </x:c>
      <x:c r="E34" s="2" t="str">
        <x:f>IF(D34=0,"",IF(F34=0,"不足",INDEX('設定'!$B$7:$B$12,F34)))</x:f>
        <x:v>スタッフB</x:v>
      </x:c>
      <x:c r="F34" s="2" t="n">
        <x:f>IF(D34=0,"",IF(MIN(G34:L34)&gt;=1000000,0,MATCH(MIN(G34:L34),G34:L34,0)))</x:f>
        <x:v>2</x:v>
      </x:c>
      <x:c r="G34" s="2" t="n">
        <x:f>IF(OR($D34=0,INDEX('希望休'!$B$7:$AF$12,1,$B34)&lt;&gt;"可",COUNTIFS($A$7:A33,$A34,$F$7:F33,1)&gt;0,COUNTIF($F$7:F33,1)&gt;='設定'!C7,M31&gt;='設定'!D7),1000000,COUNTIF($F$7:F33,1)*100+MOD(0+7+'設定'!$F$3,6))</x:f>
        <x:v>1000000</x:v>
      </x:c>
      <x:c r="H34" s="2" t="n">
        <x:f>IF(OR($D34=0,INDEX('希望休'!$B$7:$AF$12,2,$B34)&lt;&gt;"可",COUNTIFS($A$7:A33,$A34,$F$7:F33,2)&gt;0,COUNTIF($F$7:F33,2)&gt;='設定'!C8,N31&gt;='設定'!D8),1000000,COUNTIF($F$7:F33,2)*100+MOD(1+7+'設定'!$F$3,6))</x:f>
        <x:v>402</x:v>
      </x:c>
      <x:c r="I34" s="2" t="n">
        <x:f>IF(OR($D34=0,INDEX('希望休'!$B$7:$AF$12,3,$B34)&lt;&gt;"可",COUNTIFS($A$7:A33,$A34,$F$7:F33,3)&gt;0,COUNTIF($F$7:F33,3)&gt;='設定'!C9,O31&gt;='設定'!D9),1000000,COUNTIF($F$7:F33,3)*100+MOD(2+7+'設定'!$F$3,6))</x:f>
        <x:v>403</x:v>
      </x:c>
      <x:c r="J34" s="2" t="n">
        <x:f>IF(OR($D34=0,INDEX('希望休'!$B$7:$AF$12,4,$B34)&lt;&gt;"可",COUNTIFS($A$7:A33,$A34,$F$7:F33,4)&gt;0,COUNTIF($F$7:F33,4)&gt;='設定'!C10,P31&gt;='設定'!D10),1000000,COUNTIF($F$7:F33,4)*100+MOD(3+7+'設定'!$F$3,6))</x:f>
        <x:v>404</x:v>
      </x:c>
      <x:c r="K34" s="2" t="n">
        <x:f>IF(OR($D34=0,INDEX('希望休'!$B$7:$AF$12,5,$B34)&lt;&gt;"可",COUNTIFS($A$7:A33,$A34,$F$7:F33,5)&gt;0,COUNTIF($F$7:F33,5)&gt;='設定'!C11,Q31&gt;='設定'!D11),1000000,COUNTIF($F$7:F33,5)*100+MOD(4+7+'設定'!$F$3,6))</x:f>
        <x:v>405</x:v>
      </x:c>
      <x:c r="L34" s="2" t="n">
        <x:f>IF(OR($D34=0,INDEX('希望休'!$B$7:$AF$12,6,$B34)&lt;&gt;"可",COUNTIFS($A$7:A33,$A34,$F$7:F33,6)&gt;0,COUNTIF($F$7:F33,6)&gt;='設定'!C12,R31&gt;='設定'!D12),1000000,COUNTIF($F$7:F33,6)*100+MOD(5+7+'設定'!$F$3,6))</x:f>
        <x:v>1000000</x:v>
      </x:c>
      <x:c r="M34" s="2" t="n">
        <x:f>IF($A34="",0,IF(COUNTIF($F$32:F34,1)&gt;0,M31+1,0))</x:f>
        <x:v>2</x:v>
      </x:c>
      <x:c r="N34" s="2" t="n">
        <x:f>IF($A34="",0,IF(COUNTIF($F$32:F34,2)&gt;0,N31+1,0))</x:f>
        <x:v>3</x:v>
      </x:c>
      <x:c r="O34" s="2" t="n">
        <x:f>IF($A34="",0,IF(COUNTIF($F$32:F34,3)&gt;0,O31+1,0))</x:f>
        <x:v>0</x:v>
      </x:c>
      <x:c r="P34" s="2" t="n">
        <x:f>IF($A34="",0,IF(COUNTIF($F$32:F34,4)&gt;0,P31+1,0))</x:f>
        <x:v>0</x:v>
      </x:c>
      <x:c r="Q34" s="2" t="n">
        <x:f>IF($A34="",0,IF(COUNTIF($F$32:F34,5)&gt;0,Q31+1,0))</x:f>
        <x:v>0</x:v>
      </x:c>
      <x:c r="R34" s="2" t="n">
        <x:f>IF($A34="",0,IF(COUNTIF($F$32:F34,6)&gt;0,R31+1,0))</x:f>
        <x:v>1</x:v>
      </x:c>
    </x:row>
    <x:row r="35" ht="24" customHeight="1">
      <x:c r="A35" s="15" t="n">
        <x:f>'設定'!H16</x:f>
        <x:v>46272</x:v>
      </x:c>
      <x:c r="B35" s="2" t="n">
        <x:f>7</x:f>
        <x:v>7</x:v>
      </x:c>
      <x:c r="C35" s="2" t="str">
        <x:f>"遅"</x:f>
        <x:v>遅</x:v>
      </x:c>
      <x:c r="D35" s="2" t="n">
        <x:f>IF(AND('設定'!$B$21="入力OK",'設定'!H16&lt;&gt;"",'設定'!H18&gt;=2),1,0)</x:f>
        <x:v>1</x:v>
      </x:c>
      <x:c r="E35" s="2" t="str">
        <x:f>IF(D35=0,"",IF(F35=0,"不足",INDEX('設定'!$B$7:$B$12,F35)))</x:f>
        <x:v>スタッフC</x:v>
      </x:c>
      <x:c r="F35" s="2" t="n">
        <x:f>IF(D35=0,"",IF(MIN(G35:L35)&gt;=1000000,0,MATCH(MIN(G35:L35),G35:L35,0)))</x:f>
        <x:v>3</x:v>
      </x:c>
      <x:c r="G35" s="2" t="n">
        <x:f>IF(OR($D35=0,INDEX('希望休'!$B$7:$AF$12,1,$B35)&lt;&gt;"可",COUNTIFS($A$7:A34,$A35,$F$7:F34,1)&gt;0,COUNTIF($F$7:F34,1)&gt;='設定'!C7,M31&gt;='設定'!D7),1000000,COUNTIF($F$7:F34,1)*100+MOD(0+7+'設定'!$F$3,6))</x:f>
        <x:v>1000000</x:v>
      </x:c>
      <x:c r="H35" s="2" t="n">
        <x:f>IF(OR($D35=0,INDEX('希望休'!$B$7:$AF$12,2,$B35)&lt;&gt;"可",COUNTIFS($A$7:A34,$A35,$F$7:F34,2)&gt;0,COUNTIF($F$7:F34,2)&gt;='設定'!C8,N31&gt;='設定'!D8),1000000,COUNTIF($F$7:F34,2)*100+MOD(1+7+'設定'!$F$3,6))</x:f>
        <x:v>1000000</x:v>
      </x:c>
      <x:c r="I35" s="2" t="n">
        <x:f>IF(OR($D35=0,INDEX('希望休'!$B$7:$AF$12,3,$B35)&lt;&gt;"可",COUNTIFS($A$7:A34,$A35,$F$7:F34,3)&gt;0,COUNTIF($F$7:F34,3)&gt;='設定'!C9,O31&gt;='設定'!D9),1000000,COUNTIF($F$7:F34,3)*100+MOD(2+7+'設定'!$F$3,6))</x:f>
        <x:v>403</x:v>
      </x:c>
      <x:c r="J35" s="2" t="n">
        <x:f>IF(OR($D35=0,INDEX('希望休'!$B$7:$AF$12,4,$B35)&lt;&gt;"可",COUNTIFS($A$7:A34,$A35,$F$7:F34,4)&gt;0,COUNTIF($F$7:F34,4)&gt;='設定'!C10,P31&gt;='設定'!D10),1000000,COUNTIF($F$7:F34,4)*100+MOD(3+7+'設定'!$F$3,6))</x:f>
        <x:v>404</x:v>
      </x:c>
      <x:c r="K35" s="2" t="n">
        <x:f>IF(OR($D35=0,INDEX('希望休'!$B$7:$AF$12,5,$B35)&lt;&gt;"可",COUNTIFS($A$7:A34,$A35,$F$7:F34,5)&gt;0,COUNTIF($F$7:F34,5)&gt;='設定'!C11,Q31&gt;='設定'!D11),1000000,COUNTIF($F$7:F34,5)*100+MOD(4+7+'設定'!$F$3,6))</x:f>
        <x:v>405</x:v>
      </x:c>
      <x:c r="L35" s="2" t="n">
        <x:f>IF(OR($D35=0,INDEX('希望休'!$B$7:$AF$12,6,$B35)&lt;&gt;"可",COUNTIFS($A$7:A34,$A35,$F$7:F34,6)&gt;0,COUNTIF($F$7:F34,6)&gt;='設定'!C12,R31&gt;='設定'!D12),1000000,COUNTIF($F$7:F34,6)*100+MOD(5+7+'設定'!$F$3,6))</x:f>
        <x:v>1000000</x:v>
      </x:c>
      <x:c r="M35" s="2" t="n">
        <x:f>IF($A35="",0,IF(COUNTIF($F$32:F35,1)&gt;0,M31+1,0))</x:f>
        <x:v>2</x:v>
      </x:c>
      <x:c r="N35" s="2" t="n">
        <x:f>IF($A35="",0,IF(COUNTIF($F$32:F35,2)&gt;0,N31+1,0))</x:f>
        <x:v>3</x:v>
      </x:c>
      <x:c r="O35" s="2" t="n">
        <x:f>IF($A35="",0,IF(COUNTIF($F$32:F35,3)&gt;0,O31+1,0))</x:f>
        <x:v>1</x:v>
      </x:c>
      <x:c r="P35" s="2" t="n">
        <x:f>IF($A35="",0,IF(COUNTIF($F$32:F35,4)&gt;0,P31+1,0))</x:f>
        <x:v>0</x:v>
      </x:c>
      <x:c r="Q35" s="2" t="n">
        <x:f>IF($A35="",0,IF(COUNTIF($F$32:F35,5)&gt;0,Q31+1,0))</x:f>
        <x:v>0</x:v>
      </x:c>
      <x:c r="R35" s="2" t="n">
        <x:f>IF($A35="",0,IF(COUNTIF($F$32:F35,6)&gt;0,R31+1,0))</x:f>
        <x:v>1</x:v>
      </x:c>
    </x:row>
    <x:row r="36" ht="24" customHeight="1">
      <x:c r="A36" s="15" t="n">
        <x:f>'設定'!I16</x:f>
        <x:v>46273</x:v>
      </x:c>
      <x:c r="B36" s="2" t="n">
        <x:f>8</x:f>
        <x:v>8</x:v>
      </x:c>
      <x:c r="C36" s="2" t="str">
        <x:f>"早"</x:f>
        <x:v>早</x:v>
      </x:c>
      <x:c r="D36" s="2" t="n">
        <x:f>IF(AND('設定'!$B$21="入力OK",'設定'!I16&lt;&gt;"",'設定'!I17&gt;=1),1,0)</x:f>
        <x:v>1</x:v>
      </x:c>
      <x:c r="E36" s="2" t="str">
        <x:f>IF(D36=0,"",IF(F36=0,"不足",INDEX('設定'!$B$7:$B$12,F36)))</x:f>
        <x:v>スタッフE</x:v>
      </x:c>
      <x:c r="F36" s="2" t="n">
        <x:f>IF(D36=0,"",IF(MIN(G36:L36)&gt;=1000000,0,MATCH(MIN(G36:L36),G36:L36,0)))</x:f>
        <x:v>5</x:v>
      </x:c>
      <x:c r="G36" s="2" t="n">
        <x:f>IF(OR($D36=0,INDEX('希望休'!$B$7:$AF$12,1,$B36)&lt;&gt;"可",COUNTIFS($A$7:A35,$A36,$F$7:F35,1)&gt;0,COUNTIF($F$7:F35,1)&gt;='設定'!C7,M35&gt;='設定'!D7),1000000,COUNTIF($F$7:F35,1)*100+MOD(0+8+'設定'!$F$3,6))</x:f>
        <x:v>502</x:v>
      </x:c>
      <x:c r="H36" s="2" t="n">
        <x:f>IF(OR($D36=0,INDEX('希望休'!$B$7:$AF$12,2,$B36)&lt;&gt;"可",COUNTIFS($A$7:A35,$A36,$F$7:F35,2)&gt;0,COUNTIF($F$7:F35,2)&gt;='設定'!C8,N35&gt;='設定'!D8),1000000,COUNTIF($F$7:F35,2)*100+MOD(1+8+'設定'!$F$3,6))</x:f>
        <x:v>503</x:v>
      </x:c>
      <x:c r="I36" s="2" t="n">
        <x:f>IF(OR($D36=0,INDEX('希望休'!$B$7:$AF$12,3,$B36)&lt;&gt;"可",COUNTIFS($A$7:A35,$A36,$F$7:F35,3)&gt;0,COUNTIF($F$7:F35,3)&gt;='設定'!C9,O35&gt;='設定'!D9),1000000,COUNTIF($F$7:F35,3)*100+MOD(2+8+'設定'!$F$3,6))</x:f>
        <x:v>504</x:v>
      </x:c>
      <x:c r="J36" s="2" t="n">
        <x:f>IF(OR($D36=0,INDEX('希望休'!$B$7:$AF$12,4,$B36)&lt;&gt;"可",COUNTIFS($A$7:A35,$A36,$F$7:F35,4)&gt;0,COUNTIF($F$7:F35,4)&gt;='設定'!C10,P35&gt;='設定'!D10),1000000,COUNTIF($F$7:F35,4)*100+MOD(3+8+'設定'!$F$3,6))</x:f>
        <x:v>405</x:v>
      </x:c>
      <x:c r="K36" s="2" t="n">
        <x:f>IF(OR($D36=0,INDEX('希望休'!$B$7:$AF$12,5,$B36)&lt;&gt;"可",COUNTIFS($A$7:A35,$A36,$F$7:F35,5)&gt;0,COUNTIF($F$7:F35,5)&gt;='設定'!C11,Q35&gt;='設定'!D11),1000000,COUNTIF($F$7:F35,5)*100+MOD(4+8+'設定'!$F$3,6))</x:f>
        <x:v>400</x:v>
      </x:c>
      <x:c r="L36" s="2" t="n">
        <x:f>IF(OR($D36=0,INDEX('希望休'!$B$7:$AF$12,6,$B36)&lt;&gt;"可",COUNTIFS($A$7:A35,$A36,$F$7:F35,6)&gt;0,COUNTIF($F$7:F35,6)&gt;='設定'!C12,R35&gt;='設定'!D12),1000000,COUNTIF($F$7:F35,6)*100+MOD(5+8+'設定'!$F$3,6))</x:f>
        <x:v>501</x:v>
      </x:c>
      <x:c r="M36" s="2" t="n">
        <x:f>IF($A36="",0,IF(COUNTIF($F$36:F36,1)&gt;0,M35+1,0))</x:f>
        <x:v>0</x:v>
      </x:c>
      <x:c r="N36" s="2" t="n">
        <x:f>IF($A36="",0,IF(COUNTIF($F$36:F36,2)&gt;0,N35+1,0))</x:f>
        <x:v>0</x:v>
      </x:c>
      <x:c r="O36" s="2" t="n">
        <x:f>IF($A36="",0,IF(COUNTIF($F$36:F36,3)&gt;0,O35+1,0))</x:f>
        <x:v>0</x:v>
      </x:c>
      <x:c r="P36" s="2" t="n">
        <x:f>IF($A36="",0,IF(COUNTIF($F$36:F36,4)&gt;0,P35+1,0))</x:f>
        <x:v>0</x:v>
      </x:c>
      <x:c r="Q36" s="2" t="n">
        <x:f>IF($A36="",0,IF(COUNTIF($F$36:F36,5)&gt;0,Q35+1,0))</x:f>
        <x:v>1</x:v>
      </x:c>
      <x:c r="R36" s="2" t="n">
        <x:f>IF($A36="",0,IF(COUNTIF($F$36:F36,6)&gt;0,R35+1,0))</x:f>
        <x:v>0</x:v>
      </x:c>
    </x:row>
    <x:row r="37" ht="24" customHeight="1">
      <x:c r="A37" s="15" t="n">
        <x:f>'設定'!I16</x:f>
        <x:v>46273</x:v>
      </x:c>
      <x:c r="B37" s="2" t="n">
        <x:f>8</x:f>
        <x:v>8</x:v>
      </x:c>
      <x:c r="C37" s="2" t="str">
        <x:f>"早"</x:f>
        <x:v>早</x:v>
      </x:c>
      <x:c r="D37" s="2" t="n">
        <x:f>IF(AND('設定'!$B$21="入力OK",'設定'!I16&lt;&gt;"",'設定'!I17&gt;=2),1,0)</x:f>
        <x:v>1</x:v>
      </x:c>
      <x:c r="E37" s="2" t="str">
        <x:f>IF(D37=0,"",IF(F37=0,"不足",INDEX('設定'!$B$7:$B$12,F37)))</x:f>
        <x:v>スタッフD</x:v>
      </x:c>
      <x:c r="F37" s="2" t="n">
        <x:f>IF(D37=0,"",IF(MIN(G37:L37)&gt;=1000000,0,MATCH(MIN(G37:L37),G37:L37,0)))</x:f>
        <x:v>4</x:v>
      </x:c>
      <x:c r="G37" s="2" t="n">
        <x:f>IF(OR($D37=0,INDEX('希望休'!$B$7:$AF$12,1,$B37)&lt;&gt;"可",COUNTIFS($A$7:A36,$A37,$F$7:F36,1)&gt;0,COUNTIF($F$7:F36,1)&gt;='設定'!C7,M35&gt;='設定'!D7),1000000,COUNTIF($F$7:F36,1)*100+MOD(0+8+'設定'!$F$3,6))</x:f>
        <x:v>502</x:v>
      </x:c>
      <x:c r="H37" s="2" t="n">
        <x:f>IF(OR($D37=0,INDEX('希望休'!$B$7:$AF$12,2,$B37)&lt;&gt;"可",COUNTIFS($A$7:A36,$A37,$F$7:F36,2)&gt;0,COUNTIF($F$7:F36,2)&gt;='設定'!C8,N35&gt;='設定'!D8),1000000,COUNTIF($F$7:F36,2)*100+MOD(1+8+'設定'!$F$3,6))</x:f>
        <x:v>503</x:v>
      </x:c>
      <x:c r="I37" s="2" t="n">
        <x:f>IF(OR($D37=0,INDEX('希望休'!$B$7:$AF$12,3,$B37)&lt;&gt;"可",COUNTIFS($A$7:A36,$A37,$F$7:F36,3)&gt;0,COUNTIF($F$7:F36,3)&gt;='設定'!C9,O35&gt;='設定'!D9),1000000,COUNTIF($F$7:F36,3)*100+MOD(2+8+'設定'!$F$3,6))</x:f>
        <x:v>504</x:v>
      </x:c>
      <x:c r="J37" s="2" t="n">
        <x:f>IF(OR($D37=0,INDEX('希望休'!$B$7:$AF$12,4,$B37)&lt;&gt;"可",COUNTIFS($A$7:A36,$A37,$F$7:F36,4)&gt;0,COUNTIF($F$7:F36,4)&gt;='設定'!C10,P35&gt;='設定'!D10),1000000,COUNTIF($F$7:F36,4)*100+MOD(3+8+'設定'!$F$3,6))</x:f>
        <x:v>405</x:v>
      </x:c>
      <x:c r="K37" s="2" t="n">
        <x:f>IF(OR($D37=0,INDEX('希望休'!$B$7:$AF$12,5,$B37)&lt;&gt;"可",COUNTIFS($A$7:A36,$A37,$F$7:F36,5)&gt;0,COUNTIF($F$7:F36,5)&gt;='設定'!C11,Q35&gt;='設定'!D11),1000000,COUNTIF($F$7:F36,5)*100+MOD(4+8+'設定'!$F$3,6))</x:f>
        <x:v>1000000</x:v>
      </x:c>
      <x:c r="L37" s="2" t="n">
        <x:f>IF(OR($D37=0,INDEX('希望休'!$B$7:$AF$12,6,$B37)&lt;&gt;"可",COUNTIFS($A$7:A36,$A37,$F$7:F36,6)&gt;0,COUNTIF($F$7:F36,6)&gt;='設定'!C12,R35&gt;='設定'!D12),1000000,COUNTIF($F$7:F36,6)*100+MOD(5+8+'設定'!$F$3,6))</x:f>
        <x:v>501</x:v>
      </x:c>
      <x:c r="M37" s="2" t="n">
        <x:f>IF($A37="",0,IF(COUNTIF($F$36:F37,1)&gt;0,M35+1,0))</x:f>
        <x:v>0</x:v>
      </x:c>
      <x:c r="N37" s="2" t="n">
        <x:f>IF($A37="",0,IF(COUNTIF($F$36:F37,2)&gt;0,N35+1,0))</x:f>
        <x:v>0</x:v>
      </x:c>
      <x:c r="O37" s="2" t="n">
        <x:f>IF($A37="",0,IF(COUNTIF($F$36:F37,3)&gt;0,O35+1,0))</x:f>
        <x:v>0</x:v>
      </x:c>
      <x:c r="P37" s="2" t="n">
        <x:f>IF($A37="",0,IF(COUNTIF($F$36:F37,4)&gt;0,P35+1,0))</x:f>
        <x:v>1</x:v>
      </x:c>
      <x:c r="Q37" s="2" t="n">
        <x:f>IF($A37="",0,IF(COUNTIF($F$36:F37,5)&gt;0,Q35+1,0))</x:f>
        <x:v>1</x:v>
      </x:c>
      <x:c r="R37" s="2" t="n">
        <x:f>IF($A37="",0,IF(COUNTIF($F$36:F37,6)&gt;0,R35+1,0))</x:f>
        <x:v>0</x:v>
      </x:c>
    </x:row>
    <x:row r="38" ht="24" customHeight="1">
      <x:c r="A38" s="15" t="n">
        <x:f>'設定'!I16</x:f>
        <x:v>46273</x:v>
      </x:c>
      <x:c r="B38" s="2" t="n">
        <x:f>8</x:f>
        <x:v>8</x:v>
      </x:c>
      <x:c r="C38" s="2" t="str">
        <x:f>"遅"</x:f>
        <x:v>遅</x:v>
      </x:c>
      <x:c r="D38" s="2" t="n">
        <x:f>IF(AND('設定'!$B$21="入力OK",'設定'!I16&lt;&gt;"",'設定'!I18&gt;=1),1,0)</x:f>
        <x:v>1</x:v>
      </x:c>
      <x:c r="E38" s="2" t="str">
        <x:f>IF(D38=0,"",IF(F38=0,"不足",INDEX('設定'!$B$7:$B$12,F38)))</x:f>
        <x:v>スタッフF</x:v>
      </x:c>
      <x:c r="F38" s="2" t="n">
        <x:f>IF(D38=0,"",IF(MIN(G38:L38)&gt;=1000000,0,MATCH(MIN(G38:L38),G38:L38,0)))</x:f>
        <x:v>6</x:v>
      </x:c>
      <x:c r="G38" s="2" t="n">
        <x:f>IF(OR($D38=0,INDEX('希望休'!$B$7:$AF$12,1,$B38)&lt;&gt;"可",COUNTIFS($A$7:A37,$A38,$F$7:F37,1)&gt;0,COUNTIF($F$7:F37,1)&gt;='設定'!C7,M35&gt;='設定'!D7),1000000,COUNTIF($F$7:F37,1)*100+MOD(0+8+'設定'!$F$3,6))</x:f>
        <x:v>502</x:v>
      </x:c>
      <x:c r="H38" s="2" t="n">
        <x:f>IF(OR($D38=0,INDEX('希望休'!$B$7:$AF$12,2,$B38)&lt;&gt;"可",COUNTIFS($A$7:A37,$A38,$F$7:F37,2)&gt;0,COUNTIF($F$7:F37,2)&gt;='設定'!C8,N35&gt;='設定'!D8),1000000,COUNTIF($F$7:F37,2)*100+MOD(1+8+'設定'!$F$3,6))</x:f>
        <x:v>503</x:v>
      </x:c>
      <x:c r="I38" s="2" t="n">
        <x:f>IF(OR($D38=0,INDEX('希望休'!$B$7:$AF$12,3,$B38)&lt;&gt;"可",COUNTIFS($A$7:A37,$A38,$F$7:F37,3)&gt;0,COUNTIF($F$7:F37,3)&gt;='設定'!C9,O35&gt;='設定'!D9),1000000,COUNTIF($F$7:F37,3)*100+MOD(2+8+'設定'!$F$3,6))</x:f>
        <x:v>504</x:v>
      </x:c>
      <x:c r="J38" s="2" t="n">
        <x:f>IF(OR($D38=0,INDEX('希望休'!$B$7:$AF$12,4,$B38)&lt;&gt;"可",COUNTIFS($A$7:A37,$A38,$F$7:F37,4)&gt;0,COUNTIF($F$7:F37,4)&gt;='設定'!C10,P35&gt;='設定'!D10),1000000,COUNTIF($F$7:F37,4)*100+MOD(3+8+'設定'!$F$3,6))</x:f>
        <x:v>1000000</x:v>
      </x:c>
      <x:c r="K38" s="2" t="n">
        <x:f>IF(OR($D38=0,INDEX('希望休'!$B$7:$AF$12,5,$B38)&lt;&gt;"可",COUNTIFS($A$7:A37,$A38,$F$7:F37,5)&gt;0,COUNTIF($F$7:F37,5)&gt;='設定'!C11,Q35&gt;='設定'!D11),1000000,COUNTIF($F$7:F37,5)*100+MOD(4+8+'設定'!$F$3,6))</x:f>
        <x:v>1000000</x:v>
      </x:c>
      <x:c r="L38" s="2" t="n">
        <x:f>IF(OR($D38=0,INDEX('希望休'!$B$7:$AF$12,6,$B38)&lt;&gt;"可",COUNTIFS($A$7:A37,$A38,$F$7:F37,6)&gt;0,COUNTIF($F$7:F37,6)&gt;='設定'!C12,R35&gt;='設定'!D12),1000000,COUNTIF($F$7:F37,6)*100+MOD(5+8+'設定'!$F$3,6))</x:f>
        <x:v>501</x:v>
      </x:c>
      <x:c r="M38" s="2" t="n">
        <x:f>IF($A38="",0,IF(COUNTIF($F$36:F38,1)&gt;0,M35+1,0))</x:f>
        <x:v>0</x:v>
      </x:c>
      <x:c r="N38" s="2" t="n">
        <x:f>IF($A38="",0,IF(COUNTIF($F$36:F38,2)&gt;0,N35+1,0))</x:f>
        <x:v>0</x:v>
      </x:c>
      <x:c r="O38" s="2" t="n">
        <x:f>IF($A38="",0,IF(COUNTIF($F$36:F38,3)&gt;0,O35+1,0))</x:f>
        <x:v>0</x:v>
      </x:c>
      <x:c r="P38" s="2" t="n">
        <x:f>IF($A38="",0,IF(COUNTIF($F$36:F38,4)&gt;0,P35+1,0))</x:f>
        <x:v>1</x:v>
      </x:c>
      <x:c r="Q38" s="2" t="n">
        <x:f>IF($A38="",0,IF(COUNTIF($F$36:F38,5)&gt;0,Q35+1,0))</x:f>
        <x:v>1</x:v>
      </x:c>
      <x:c r="R38" s="2" t="n">
        <x:f>IF($A38="",0,IF(COUNTIF($F$36:F38,6)&gt;0,R35+1,0))</x:f>
        <x:v>2</x:v>
      </x:c>
    </x:row>
    <x:row r="39" ht="24" customHeight="1">
      <x:c r="A39" s="15" t="n">
        <x:f>'設定'!I16</x:f>
        <x:v>46273</x:v>
      </x:c>
      <x:c r="B39" s="2" t="n">
        <x:f>8</x:f>
        <x:v>8</x:v>
      </x:c>
      <x:c r="C39" s="2" t="str">
        <x:f>"遅"</x:f>
        <x:v>遅</x:v>
      </x:c>
      <x:c r="D39" s="2" t="n">
        <x:f>IF(AND('設定'!$B$21="入力OK",'設定'!I16&lt;&gt;"",'設定'!I18&gt;=2),1,0)</x:f>
        <x:v>1</x:v>
      </x:c>
      <x:c r="E39" s="2" t="str">
        <x:f>IF(D39=0,"",IF(F39=0,"不足",INDEX('設定'!$B$7:$B$12,F39)))</x:f>
        <x:v>スタッフA</x:v>
      </x:c>
      <x:c r="F39" s="2" t="n">
        <x:f>IF(D39=0,"",IF(MIN(G39:L39)&gt;=1000000,0,MATCH(MIN(G39:L39),G39:L39,0)))</x:f>
        <x:v>1</x:v>
      </x:c>
      <x:c r="G39" s="2" t="n">
        <x:f>IF(OR($D39=0,INDEX('希望休'!$B$7:$AF$12,1,$B39)&lt;&gt;"可",COUNTIFS($A$7:A38,$A39,$F$7:F38,1)&gt;0,COUNTIF($F$7:F38,1)&gt;='設定'!C7,M35&gt;='設定'!D7),1000000,COUNTIF($F$7:F38,1)*100+MOD(0+8+'設定'!$F$3,6))</x:f>
        <x:v>502</x:v>
      </x:c>
      <x:c r="H39" s="2" t="n">
        <x:f>IF(OR($D39=0,INDEX('希望休'!$B$7:$AF$12,2,$B39)&lt;&gt;"可",COUNTIFS($A$7:A38,$A39,$F$7:F38,2)&gt;0,COUNTIF($F$7:F38,2)&gt;='設定'!C8,N35&gt;='設定'!D8),1000000,COUNTIF($F$7:F38,2)*100+MOD(1+8+'設定'!$F$3,6))</x:f>
        <x:v>503</x:v>
      </x:c>
      <x:c r="I39" s="2" t="n">
        <x:f>IF(OR($D39=0,INDEX('希望休'!$B$7:$AF$12,3,$B39)&lt;&gt;"可",COUNTIFS($A$7:A38,$A39,$F$7:F38,3)&gt;0,COUNTIF($F$7:F38,3)&gt;='設定'!C9,O35&gt;='設定'!D9),1000000,COUNTIF($F$7:F38,3)*100+MOD(2+8+'設定'!$F$3,6))</x:f>
        <x:v>504</x:v>
      </x:c>
      <x:c r="J39" s="2" t="n">
        <x:f>IF(OR($D39=0,INDEX('希望休'!$B$7:$AF$12,4,$B39)&lt;&gt;"可",COUNTIFS($A$7:A38,$A39,$F$7:F38,4)&gt;0,COUNTIF($F$7:F38,4)&gt;='設定'!C10,P35&gt;='設定'!D10),1000000,COUNTIF($F$7:F38,4)*100+MOD(3+8+'設定'!$F$3,6))</x:f>
        <x:v>1000000</x:v>
      </x:c>
      <x:c r="K39" s="2" t="n">
        <x:f>IF(OR($D39=0,INDEX('希望休'!$B$7:$AF$12,5,$B39)&lt;&gt;"可",COUNTIFS($A$7:A38,$A39,$F$7:F38,5)&gt;0,COUNTIF($F$7:F38,5)&gt;='設定'!C11,Q35&gt;='設定'!D11),1000000,COUNTIF($F$7:F38,5)*100+MOD(4+8+'設定'!$F$3,6))</x:f>
        <x:v>1000000</x:v>
      </x:c>
      <x:c r="L39" s="2" t="n">
        <x:f>IF(OR($D39=0,INDEX('希望休'!$B$7:$AF$12,6,$B39)&lt;&gt;"可",COUNTIFS($A$7:A38,$A39,$F$7:F38,6)&gt;0,COUNTIF($F$7:F38,6)&gt;='設定'!C12,R35&gt;='設定'!D12),1000000,COUNTIF($F$7:F38,6)*100+MOD(5+8+'設定'!$F$3,6))</x:f>
        <x:v>1000000</x:v>
      </x:c>
      <x:c r="M39" s="2" t="n">
        <x:f>IF($A39="",0,IF(COUNTIF($F$36:F39,1)&gt;0,M35+1,0))</x:f>
        <x:v>3</x:v>
      </x:c>
      <x:c r="N39" s="2" t="n">
        <x:f>IF($A39="",0,IF(COUNTIF($F$36:F39,2)&gt;0,N35+1,0))</x:f>
        <x:v>0</x:v>
      </x:c>
      <x:c r="O39" s="2" t="n">
        <x:f>IF($A39="",0,IF(COUNTIF($F$36:F39,3)&gt;0,O35+1,0))</x:f>
        <x:v>0</x:v>
      </x:c>
      <x:c r="P39" s="2" t="n">
        <x:f>IF($A39="",0,IF(COUNTIF($F$36:F39,4)&gt;0,P35+1,0))</x:f>
        <x:v>1</x:v>
      </x:c>
      <x:c r="Q39" s="2" t="n">
        <x:f>IF($A39="",0,IF(COUNTIF($F$36:F39,5)&gt;0,Q35+1,0))</x:f>
        <x:v>1</x:v>
      </x:c>
      <x:c r="R39" s="2" t="n">
        <x:f>IF($A39="",0,IF(COUNTIF($F$36:F39,6)&gt;0,R35+1,0))</x:f>
        <x:v>2</x:v>
      </x:c>
    </x:row>
    <x:row r="40" ht="24" customHeight="1">
      <x:c r="A40" s="15" t="n">
        <x:f>'設定'!J16</x:f>
        <x:v>46274</x:v>
      </x:c>
      <x:c r="B40" s="2" t="n">
        <x:f>9</x:f>
        <x:v>9</x:v>
      </x:c>
      <x:c r="C40" s="2" t="str">
        <x:f>"早"</x:f>
        <x:v>早</x:v>
      </x:c>
      <x:c r="D40" s="2" t="n">
        <x:f>IF(AND('設定'!$B$21="入力OK",'設定'!J16&lt;&gt;"",'設定'!J17&gt;=1),1,0)</x:f>
        <x:v>1</x:v>
      </x:c>
      <x:c r="E40" s="2" t="str">
        <x:f>IF(D40=0,"",IF(F40=0,"不足",INDEX('設定'!$B$7:$B$12,F40)))</x:f>
        <x:v>スタッフD</x:v>
      </x:c>
      <x:c r="F40" s="2" t="n">
        <x:f>IF(D40=0,"",IF(MIN(G40:L40)&gt;=1000000,0,MATCH(MIN(G40:L40),G40:L40,0)))</x:f>
        <x:v>4</x:v>
      </x:c>
      <x:c r="G40" s="2" t="n">
        <x:f>IF(OR($D40=0,INDEX('希望休'!$B$7:$AF$12,1,$B40)&lt;&gt;"可",COUNTIFS($A$7:A39,$A40,$F$7:F39,1)&gt;0,COUNTIF($F$7:F39,1)&gt;='設定'!C7,M39&gt;='設定'!D7),1000000,COUNTIF($F$7:F39,1)*100+MOD(0+9+'設定'!$F$3,6))</x:f>
        <x:v>603</x:v>
      </x:c>
      <x:c r="H40" s="2" t="n">
        <x:f>IF(OR($D40=0,INDEX('希望休'!$B$7:$AF$12,2,$B40)&lt;&gt;"可",COUNTIFS($A$7:A39,$A40,$F$7:F39,2)&gt;0,COUNTIF($F$7:F39,2)&gt;='設定'!C8,N39&gt;='設定'!D8),1000000,COUNTIF($F$7:F39,2)*100+MOD(1+9+'設定'!$F$3,6))</x:f>
        <x:v>504</x:v>
      </x:c>
      <x:c r="I40" s="2" t="n">
        <x:f>IF(OR($D40=0,INDEX('希望休'!$B$7:$AF$12,3,$B40)&lt;&gt;"可",COUNTIFS($A$7:A39,$A40,$F$7:F39,3)&gt;0,COUNTIF($F$7:F39,3)&gt;='設定'!C9,O39&gt;='設定'!D9),1000000,COUNTIF($F$7:F39,3)*100+MOD(2+9+'設定'!$F$3,6))</x:f>
        <x:v>505</x:v>
      </x:c>
      <x:c r="J40" s="2" t="n">
        <x:f>IF(OR($D40=0,INDEX('希望休'!$B$7:$AF$12,4,$B40)&lt;&gt;"可",COUNTIFS($A$7:A39,$A40,$F$7:F39,4)&gt;0,COUNTIF($F$7:F39,4)&gt;='設定'!C10,P39&gt;='設定'!D10),1000000,COUNTIF($F$7:F39,4)*100+MOD(3+9+'設定'!$F$3,6))</x:f>
        <x:v>500</x:v>
      </x:c>
      <x:c r="K40" s="2" t="n">
        <x:f>IF(OR($D40=0,INDEX('希望休'!$B$7:$AF$12,5,$B40)&lt;&gt;"可",COUNTIFS($A$7:A39,$A40,$F$7:F39,5)&gt;0,COUNTIF($F$7:F39,5)&gt;='設定'!C11,Q39&gt;='設定'!D11),1000000,COUNTIF($F$7:F39,5)*100+MOD(4+9+'設定'!$F$3,6))</x:f>
        <x:v>501</x:v>
      </x:c>
      <x:c r="L40" s="2" t="n">
        <x:f>IF(OR($D40=0,INDEX('希望休'!$B$7:$AF$12,6,$B40)&lt;&gt;"可",COUNTIFS($A$7:A39,$A40,$F$7:F39,6)&gt;0,COUNTIF($F$7:F39,6)&gt;='設定'!C12,R39&gt;='設定'!D12),1000000,COUNTIF($F$7:F39,6)*100+MOD(5+9+'設定'!$F$3,6))</x:f>
        <x:v>602</x:v>
      </x:c>
      <x:c r="M40" s="2" t="n">
        <x:f>IF($A40="",0,IF(COUNTIF($F$40:F40,1)&gt;0,M39+1,0))</x:f>
        <x:v>0</x:v>
      </x:c>
      <x:c r="N40" s="2" t="n">
        <x:f>IF($A40="",0,IF(COUNTIF($F$40:F40,2)&gt;0,N39+1,0))</x:f>
        <x:v>0</x:v>
      </x:c>
      <x:c r="O40" s="2" t="n">
        <x:f>IF($A40="",0,IF(COUNTIF($F$40:F40,3)&gt;0,O39+1,0))</x:f>
        <x:v>0</x:v>
      </x:c>
      <x:c r="P40" s="2" t="n">
        <x:f>IF($A40="",0,IF(COUNTIF($F$40:F40,4)&gt;0,P39+1,0))</x:f>
        <x:v>2</x:v>
      </x:c>
      <x:c r="Q40" s="2" t="n">
        <x:f>IF($A40="",0,IF(COUNTIF($F$40:F40,5)&gt;0,Q39+1,0))</x:f>
        <x:v>0</x:v>
      </x:c>
      <x:c r="R40" s="2" t="n">
        <x:f>IF($A40="",0,IF(COUNTIF($F$40:F40,6)&gt;0,R39+1,0))</x:f>
        <x:v>0</x:v>
      </x:c>
    </x:row>
    <x:row r="41" ht="24" customHeight="1">
      <x:c r="A41" s="15" t="n">
        <x:f>'設定'!J16</x:f>
        <x:v>46274</x:v>
      </x:c>
      <x:c r="B41" s="2" t="n">
        <x:f>9</x:f>
        <x:v>9</x:v>
      </x:c>
      <x:c r="C41" s="2" t="str">
        <x:f>"早"</x:f>
        <x:v>早</x:v>
      </x:c>
      <x:c r="D41" s="2" t="n">
        <x:f>IF(AND('設定'!$B$21="入力OK",'設定'!J16&lt;&gt;"",'設定'!J17&gt;=2),1,0)</x:f>
        <x:v>1</x:v>
      </x:c>
      <x:c r="E41" s="2" t="str">
        <x:f>IF(D41=0,"",IF(F41=0,"不足",INDEX('設定'!$B$7:$B$12,F41)))</x:f>
        <x:v>スタッフE</x:v>
      </x:c>
      <x:c r="F41" s="2" t="n">
        <x:f>IF(D41=0,"",IF(MIN(G41:L41)&gt;=1000000,0,MATCH(MIN(G41:L41),G41:L41,0)))</x:f>
        <x:v>5</x:v>
      </x:c>
      <x:c r="G41" s="2" t="n">
        <x:f>IF(OR($D41=0,INDEX('希望休'!$B$7:$AF$12,1,$B41)&lt;&gt;"可",COUNTIFS($A$7:A40,$A41,$F$7:F40,1)&gt;0,COUNTIF($F$7:F40,1)&gt;='設定'!C7,M39&gt;='設定'!D7),1000000,COUNTIF($F$7:F40,1)*100+MOD(0+9+'設定'!$F$3,6))</x:f>
        <x:v>603</x:v>
      </x:c>
      <x:c r="H41" s="2" t="n">
        <x:f>IF(OR($D41=0,INDEX('希望休'!$B$7:$AF$12,2,$B41)&lt;&gt;"可",COUNTIFS($A$7:A40,$A41,$F$7:F40,2)&gt;0,COUNTIF($F$7:F40,2)&gt;='設定'!C8,N39&gt;='設定'!D8),1000000,COUNTIF($F$7:F40,2)*100+MOD(1+9+'設定'!$F$3,6))</x:f>
        <x:v>504</x:v>
      </x:c>
      <x:c r="I41" s="2" t="n">
        <x:f>IF(OR($D41=0,INDEX('希望休'!$B$7:$AF$12,3,$B41)&lt;&gt;"可",COUNTIFS($A$7:A40,$A41,$F$7:F40,3)&gt;0,COUNTIF($F$7:F40,3)&gt;='設定'!C9,O39&gt;='設定'!D9),1000000,COUNTIF($F$7:F40,3)*100+MOD(2+9+'設定'!$F$3,6))</x:f>
        <x:v>505</x:v>
      </x:c>
      <x:c r="J41" s="2" t="n">
        <x:f>IF(OR($D41=0,INDEX('希望休'!$B$7:$AF$12,4,$B41)&lt;&gt;"可",COUNTIFS($A$7:A40,$A41,$F$7:F40,4)&gt;0,COUNTIF($F$7:F40,4)&gt;='設定'!C10,P39&gt;='設定'!D10),1000000,COUNTIF($F$7:F40,4)*100+MOD(3+9+'設定'!$F$3,6))</x:f>
        <x:v>1000000</x:v>
      </x:c>
      <x:c r="K41" s="2" t="n">
        <x:f>IF(OR($D41=0,INDEX('希望休'!$B$7:$AF$12,5,$B41)&lt;&gt;"可",COUNTIFS($A$7:A40,$A41,$F$7:F40,5)&gt;0,COUNTIF($F$7:F40,5)&gt;='設定'!C11,Q39&gt;='設定'!D11),1000000,COUNTIF($F$7:F40,5)*100+MOD(4+9+'設定'!$F$3,6))</x:f>
        <x:v>501</x:v>
      </x:c>
      <x:c r="L41" s="2" t="n">
        <x:f>IF(OR($D41=0,INDEX('希望休'!$B$7:$AF$12,6,$B41)&lt;&gt;"可",COUNTIFS($A$7:A40,$A41,$F$7:F40,6)&gt;0,COUNTIF($F$7:F40,6)&gt;='設定'!C12,R39&gt;='設定'!D12),1000000,COUNTIF($F$7:F40,6)*100+MOD(5+9+'設定'!$F$3,6))</x:f>
        <x:v>602</x:v>
      </x:c>
      <x:c r="M41" s="2" t="n">
        <x:f>IF($A41="",0,IF(COUNTIF($F$40:F41,1)&gt;0,M39+1,0))</x:f>
        <x:v>0</x:v>
      </x:c>
      <x:c r="N41" s="2" t="n">
        <x:f>IF($A41="",0,IF(COUNTIF($F$40:F41,2)&gt;0,N39+1,0))</x:f>
        <x:v>0</x:v>
      </x:c>
      <x:c r="O41" s="2" t="n">
        <x:f>IF($A41="",0,IF(COUNTIF($F$40:F41,3)&gt;0,O39+1,0))</x:f>
        <x:v>0</x:v>
      </x:c>
      <x:c r="P41" s="2" t="n">
        <x:f>IF($A41="",0,IF(COUNTIF($F$40:F41,4)&gt;0,P39+1,0))</x:f>
        <x:v>2</x:v>
      </x:c>
      <x:c r="Q41" s="2" t="n">
        <x:f>IF($A41="",0,IF(COUNTIF($F$40:F41,5)&gt;0,Q39+1,0))</x:f>
        <x:v>2</x:v>
      </x:c>
      <x:c r="R41" s="2" t="n">
        <x:f>IF($A41="",0,IF(COUNTIF($F$40:F41,6)&gt;0,R39+1,0))</x:f>
        <x:v>0</x:v>
      </x:c>
    </x:row>
    <x:row r="42" ht="24" customHeight="1">
      <x:c r="A42" s="15" t="n">
        <x:f>'設定'!J16</x:f>
        <x:v>46274</x:v>
      </x:c>
      <x:c r="B42" s="2" t="n">
        <x:f>9</x:f>
        <x:v>9</x:v>
      </x:c>
      <x:c r="C42" s="2" t="str">
        <x:f>"遅"</x:f>
        <x:v>遅</x:v>
      </x:c>
      <x:c r="D42" s="2" t="n">
        <x:f>IF(AND('設定'!$B$21="入力OK",'設定'!J16&lt;&gt;"",'設定'!J18&gt;=1),1,0)</x:f>
        <x:v>1</x:v>
      </x:c>
      <x:c r="E42" s="2" t="str">
        <x:f>IF(D42=0,"",IF(F42=0,"不足",INDEX('設定'!$B$7:$B$12,F42)))</x:f>
        <x:v>スタッフB</x:v>
      </x:c>
      <x:c r="F42" s="2" t="n">
        <x:f>IF(D42=0,"",IF(MIN(G42:L42)&gt;=1000000,0,MATCH(MIN(G42:L42),G42:L42,0)))</x:f>
        <x:v>2</x:v>
      </x:c>
      <x:c r="G42" s="2" t="n">
        <x:f>IF(OR($D42=0,INDEX('希望休'!$B$7:$AF$12,1,$B42)&lt;&gt;"可",COUNTIFS($A$7:A41,$A42,$F$7:F41,1)&gt;0,COUNTIF($F$7:F41,1)&gt;='設定'!C7,M39&gt;='設定'!D7),1000000,COUNTIF($F$7:F41,1)*100+MOD(0+9+'設定'!$F$3,6))</x:f>
        <x:v>603</x:v>
      </x:c>
      <x:c r="H42" s="2" t="n">
        <x:f>IF(OR($D42=0,INDEX('希望休'!$B$7:$AF$12,2,$B42)&lt;&gt;"可",COUNTIFS($A$7:A41,$A42,$F$7:F41,2)&gt;0,COUNTIF($F$7:F41,2)&gt;='設定'!C8,N39&gt;='設定'!D8),1000000,COUNTIF($F$7:F41,2)*100+MOD(1+9+'設定'!$F$3,6))</x:f>
        <x:v>504</x:v>
      </x:c>
      <x:c r="I42" s="2" t="n">
        <x:f>IF(OR($D42=0,INDEX('希望休'!$B$7:$AF$12,3,$B42)&lt;&gt;"可",COUNTIFS($A$7:A41,$A42,$F$7:F41,3)&gt;0,COUNTIF($F$7:F41,3)&gt;='設定'!C9,O39&gt;='設定'!D9),1000000,COUNTIF($F$7:F41,3)*100+MOD(2+9+'設定'!$F$3,6))</x:f>
        <x:v>505</x:v>
      </x:c>
      <x:c r="J42" s="2" t="n">
        <x:f>IF(OR($D42=0,INDEX('希望休'!$B$7:$AF$12,4,$B42)&lt;&gt;"可",COUNTIFS($A$7:A41,$A42,$F$7:F41,4)&gt;0,COUNTIF($F$7:F41,4)&gt;='設定'!C10,P39&gt;='設定'!D10),1000000,COUNTIF($F$7:F41,4)*100+MOD(3+9+'設定'!$F$3,6))</x:f>
        <x:v>1000000</x:v>
      </x:c>
      <x:c r="K42" s="2" t="n">
        <x:f>IF(OR($D42=0,INDEX('希望休'!$B$7:$AF$12,5,$B42)&lt;&gt;"可",COUNTIFS($A$7:A41,$A42,$F$7:F41,5)&gt;0,COUNTIF($F$7:F41,5)&gt;='設定'!C11,Q39&gt;='設定'!D11),1000000,COUNTIF($F$7:F41,5)*100+MOD(4+9+'設定'!$F$3,6))</x:f>
        <x:v>1000000</x:v>
      </x:c>
      <x:c r="L42" s="2" t="n">
        <x:f>IF(OR($D42=0,INDEX('希望休'!$B$7:$AF$12,6,$B42)&lt;&gt;"可",COUNTIFS($A$7:A41,$A42,$F$7:F41,6)&gt;0,COUNTIF($F$7:F41,6)&gt;='設定'!C12,R39&gt;='設定'!D12),1000000,COUNTIF($F$7:F41,6)*100+MOD(5+9+'設定'!$F$3,6))</x:f>
        <x:v>602</x:v>
      </x:c>
      <x:c r="M42" s="2" t="n">
        <x:f>IF($A42="",0,IF(COUNTIF($F$40:F42,1)&gt;0,M39+1,0))</x:f>
        <x:v>0</x:v>
      </x:c>
      <x:c r="N42" s="2" t="n">
        <x:f>IF($A42="",0,IF(COUNTIF($F$40:F42,2)&gt;0,N39+1,0))</x:f>
        <x:v>1</x:v>
      </x:c>
      <x:c r="O42" s="2" t="n">
        <x:f>IF($A42="",0,IF(COUNTIF($F$40:F42,3)&gt;0,O39+1,0))</x:f>
        <x:v>0</x:v>
      </x:c>
      <x:c r="P42" s="2" t="n">
        <x:f>IF($A42="",0,IF(COUNTIF($F$40:F42,4)&gt;0,P39+1,0))</x:f>
        <x:v>2</x:v>
      </x:c>
      <x:c r="Q42" s="2" t="n">
        <x:f>IF($A42="",0,IF(COUNTIF($F$40:F42,5)&gt;0,Q39+1,0))</x:f>
        <x:v>2</x:v>
      </x:c>
      <x:c r="R42" s="2" t="n">
        <x:f>IF($A42="",0,IF(COUNTIF($F$40:F42,6)&gt;0,R39+1,0))</x:f>
        <x:v>0</x:v>
      </x:c>
    </x:row>
    <x:row r="43" ht="24" customHeight="1">
      <x:c r="A43" s="15" t="n">
        <x:f>'設定'!J16</x:f>
        <x:v>46274</x:v>
      </x:c>
      <x:c r="B43" s="2" t="n">
        <x:f>9</x:f>
        <x:v>9</x:v>
      </x:c>
      <x:c r="C43" s="2" t="str">
        <x:f>"遅"</x:f>
        <x:v>遅</x:v>
      </x:c>
      <x:c r="D43" s="2" t="n">
        <x:f>IF(AND('設定'!$B$21="入力OK",'設定'!J16&lt;&gt;"",'設定'!J18&gt;=2),1,0)</x:f>
        <x:v>1</x:v>
      </x:c>
      <x:c r="E43" s="2" t="str">
        <x:f>IF(D43=0,"",IF(F43=0,"不足",INDEX('設定'!$B$7:$B$12,F43)))</x:f>
        <x:v>スタッフC</x:v>
      </x:c>
      <x:c r="F43" s="2" t="n">
        <x:f>IF(D43=0,"",IF(MIN(G43:L43)&gt;=1000000,0,MATCH(MIN(G43:L43),G43:L43,0)))</x:f>
        <x:v>3</x:v>
      </x:c>
      <x:c r="G43" s="2" t="n">
        <x:f>IF(OR($D43=0,INDEX('希望休'!$B$7:$AF$12,1,$B43)&lt;&gt;"可",COUNTIFS($A$7:A42,$A43,$F$7:F42,1)&gt;0,COUNTIF($F$7:F42,1)&gt;='設定'!C7,M39&gt;='設定'!D7),1000000,COUNTIF($F$7:F42,1)*100+MOD(0+9+'設定'!$F$3,6))</x:f>
        <x:v>603</x:v>
      </x:c>
      <x:c r="H43" s="2" t="n">
        <x:f>IF(OR($D43=0,INDEX('希望休'!$B$7:$AF$12,2,$B43)&lt;&gt;"可",COUNTIFS($A$7:A42,$A43,$F$7:F42,2)&gt;0,COUNTIF($F$7:F42,2)&gt;='設定'!C8,N39&gt;='設定'!D8),1000000,COUNTIF($F$7:F42,2)*100+MOD(1+9+'設定'!$F$3,6))</x:f>
        <x:v>1000000</x:v>
      </x:c>
      <x:c r="I43" s="2" t="n">
        <x:f>IF(OR($D43=0,INDEX('希望休'!$B$7:$AF$12,3,$B43)&lt;&gt;"可",COUNTIFS($A$7:A42,$A43,$F$7:F42,3)&gt;0,COUNTIF($F$7:F42,3)&gt;='設定'!C9,O39&gt;='設定'!D9),1000000,COUNTIF($F$7:F42,3)*100+MOD(2+9+'設定'!$F$3,6))</x:f>
        <x:v>505</x:v>
      </x:c>
      <x:c r="J43" s="2" t="n">
        <x:f>IF(OR($D43=0,INDEX('希望休'!$B$7:$AF$12,4,$B43)&lt;&gt;"可",COUNTIFS($A$7:A42,$A43,$F$7:F42,4)&gt;0,COUNTIF($F$7:F42,4)&gt;='設定'!C10,P39&gt;='設定'!D10),1000000,COUNTIF($F$7:F42,4)*100+MOD(3+9+'設定'!$F$3,6))</x:f>
        <x:v>1000000</x:v>
      </x:c>
      <x:c r="K43" s="2" t="n">
        <x:f>IF(OR($D43=0,INDEX('希望休'!$B$7:$AF$12,5,$B43)&lt;&gt;"可",COUNTIFS($A$7:A42,$A43,$F$7:F42,5)&gt;0,COUNTIF($F$7:F42,5)&gt;='設定'!C11,Q39&gt;='設定'!D11),1000000,COUNTIF($F$7:F42,5)*100+MOD(4+9+'設定'!$F$3,6))</x:f>
        <x:v>1000000</x:v>
      </x:c>
      <x:c r="L43" s="2" t="n">
        <x:f>IF(OR($D43=0,INDEX('希望休'!$B$7:$AF$12,6,$B43)&lt;&gt;"可",COUNTIFS($A$7:A42,$A43,$F$7:F42,6)&gt;0,COUNTIF($F$7:F42,6)&gt;='設定'!C12,R39&gt;='設定'!D12),1000000,COUNTIF($F$7:F42,6)*100+MOD(5+9+'設定'!$F$3,6))</x:f>
        <x:v>602</x:v>
      </x:c>
      <x:c r="M43" s="2" t="n">
        <x:f>IF($A43="",0,IF(COUNTIF($F$40:F43,1)&gt;0,M39+1,0))</x:f>
        <x:v>0</x:v>
      </x:c>
      <x:c r="N43" s="2" t="n">
        <x:f>IF($A43="",0,IF(COUNTIF($F$40:F43,2)&gt;0,N39+1,0))</x:f>
        <x:v>1</x:v>
      </x:c>
      <x:c r="O43" s="2" t="n">
        <x:f>IF($A43="",0,IF(COUNTIF($F$40:F43,3)&gt;0,O39+1,0))</x:f>
        <x:v>1</x:v>
      </x:c>
      <x:c r="P43" s="2" t="n">
        <x:f>IF($A43="",0,IF(COUNTIF($F$40:F43,4)&gt;0,P39+1,0))</x:f>
        <x:v>2</x:v>
      </x:c>
      <x:c r="Q43" s="2" t="n">
        <x:f>IF($A43="",0,IF(COUNTIF($F$40:F43,5)&gt;0,Q39+1,0))</x:f>
        <x:v>2</x:v>
      </x:c>
      <x:c r="R43" s="2" t="n">
        <x:f>IF($A43="",0,IF(COUNTIF($F$40:F43,6)&gt;0,R39+1,0))</x:f>
        <x:v>0</x:v>
      </x:c>
    </x:row>
    <x:row r="44" ht="24" customHeight="1">
      <x:c r="A44" s="15" t="n">
        <x:f>'設定'!K16</x:f>
        <x:v>46275</x:v>
      </x:c>
      <x:c r="B44" s="2" t="n">
        <x:f>10</x:f>
        <x:v>10</x:v>
      </x:c>
      <x:c r="C44" s="2" t="str">
        <x:f>"早"</x:f>
        <x:v>早</x:v>
      </x:c>
      <x:c r="D44" s="2" t="n">
        <x:f>IF(AND('設定'!$B$21="入力OK",'設定'!K16&lt;&gt;"",'設定'!K17&gt;=1),1,0)</x:f>
        <x:v>1</x:v>
      </x:c>
      <x:c r="E44" s="2" t="str">
        <x:f>IF(D44=0,"",IF(F44=0,"不足",INDEX('設定'!$B$7:$B$12,F44)))</x:f>
        <x:v>スタッフC</x:v>
      </x:c>
      <x:c r="F44" s="2" t="n">
        <x:f>IF(D44=0,"",IF(MIN(G44:L44)&gt;=1000000,0,MATCH(MIN(G44:L44),G44:L44,0)))</x:f>
        <x:v>3</x:v>
      </x:c>
      <x:c r="G44" s="2" t="n">
        <x:f>IF(OR($D44=0,INDEX('希望休'!$B$7:$AF$12,1,$B44)&lt;&gt;"可",COUNTIFS($A$7:A43,$A44,$F$7:F43,1)&gt;0,COUNTIF($F$7:F43,1)&gt;='設定'!C7,M43&gt;='設定'!D7),1000000,COUNTIF($F$7:F43,1)*100+MOD(0+10+'設定'!$F$3,6))</x:f>
        <x:v>604</x:v>
      </x:c>
      <x:c r="H44" s="2" t="n">
        <x:f>IF(OR($D44=0,INDEX('希望休'!$B$7:$AF$12,2,$B44)&lt;&gt;"可",COUNTIFS($A$7:A43,$A44,$F$7:F43,2)&gt;0,COUNTIF($F$7:F43,2)&gt;='設定'!C8,N43&gt;='設定'!D8),1000000,COUNTIF($F$7:F43,2)*100+MOD(1+10+'設定'!$F$3,6))</x:f>
        <x:v>605</x:v>
      </x:c>
      <x:c r="I44" s="2" t="n">
        <x:f>IF(OR($D44=0,INDEX('希望休'!$B$7:$AF$12,3,$B44)&lt;&gt;"可",COUNTIFS($A$7:A43,$A44,$F$7:F43,3)&gt;0,COUNTIF($F$7:F43,3)&gt;='設定'!C9,O43&gt;='設定'!D9),1000000,COUNTIF($F$7:F43,3)*100+MOD(2+10+'設定'!$F$3,6))</x:f>
        <x:v>600</x:v>
      </x:c>
      <x:c r="J44" s="2" t="n">
        <x:f>IF(OR($D44=0,INDEX('希望休'!$B$7:$AF$12,4,$B44)&lt;&gt;"可",COUNTIFS($A$7:A43,$A44,$F$7:F43,4)&gt;0,COUNTIF($F$7:F43,4)&gt;='設定'!C10,P43&gt;='設定'!D10),1000000,COUNTIF($F$7:F43,4)*100+MOD(3+10+'設定'!$F$3,6))</x:f>
        <x:v>601</x:v>
      </x:c>
      <x:c r="K44" s="2" t="n">
        <x:f>IF(OR($D44=0,INDEX('希望休'!$B$7:$AF$12,5,$B44)&lt;&gt;"可",COUNTIFS($A$7:A43,$A44,$F$7:F43,5)&gt;0,COUNTIF($F$7:F43,5)&gt;='設定'!C11,Q43&gt;='設定'!D11),1000000,COUNTIF($F$7:F43,5)*100+MOD(4+10+'設定'!$F$3,6))</x:f>
        <x:v>602</x:v>
      </x:c>
      <x:c r="L44" s="2" t="n">
        <x:f>IF(OR($D44=0,INDEX('希望休'!$B$7:$AF$12,6,$B44)&lt;&gt;"可",COUNTIFS($A$7:A43,$A44,$F$7:F43,6)&gt;0,COUNTIF($F$7:F43,6)&gt;='設定'!C12,R43&gt;='設定'!D12),1000000,COUNTIF($F$7:F43,6)*100+MOD(5+10+'設定'!$F$3,6))</x:f>
        <x:v>603</x:v>
      </x:c>
      <x:c r="M44" s="2" t="n">
        <x:f>IF($A44="",0,IF(COUNTIF($F$44:F44,1)&gt;0,M43+1,0))</x:f>
        <x:v>0</x:v>
      </x:c>
      <x:c r="N44" s="2" t="n">
        <x:f>IF($A44="",0,IF(COUNTIF($F$44:F44,2)&gt;0,N43+1,0))</x:f>
        <x:v>0</x:v>
      </x:c>
      <x:c r="O44" s="2" t="n">
        <x:f>IF($A44="",0,IF(COUNTIF($F$44:F44,3)&gt;0,O43+1,0))</x:f>
        <x:v>2</x:v>
      </x:c>
      <x:c r="P44" s="2" t="n">
        <x:f>IF($A44="",0,IF(COUNTIF($F$44:F44,4)&gt;0,P43+1,0))</x:f>
        <x:v>0</x:v>
      </x:c>
      <x:c r="Q44" s="2" t="n">
        <x:f>IF($A44="",0,IF(COUNTIF($F$44:F44,5)&gt;0,Q43+1,0))</x:f>
        <x:v>0</x:v>
      </x:c>
      <x:c r="R44" s="2" t="n">
        <x:f>IF($A44="",0,IF(COUNTIF($F$44:F44,6)&gt;0,R43+1,0))</x:f>
        <x:v>0</x:v>
      </x:c>
    </x:row>
    <x:row r="45" ht="24" customHeight="1">
      <x:c r="A45" s="15" t="n">
        <x:f>'設定'!K16</x:f>
        <x:v>46275</x:v>
      </x:c>
      <x:c r="B45" s="2" t="n">
        <x:f>10</x:f>
        <x:v>10</x:v>
      </x:c>
      <x:c r="C45" s="2" t="str">
        <x:f>"早"</x:f>
        <x:v>早</x:v>
      </x:c>
      <x:c r="D45" s="2" t="n">
        <x:f>IF(AND('設定'!$B$21="入力OK",'設定'!K16&lt;&gt;"",'設定'!K17&gt;=2),1,0)</x:f>
        <x:v>1</x:v>
      </x:c>
      <x:c r="E45" s="2" t="str">
        <x:f>IF(D45=0,"",IF(F45=0,"不足",INDEX('設定'!$B$7:$B$12,F45)))</x:f>
        <x:v>スタッフD</x:v>
      </x:c>
      <x:c r="F45" s="2" t="n">
        <x:f>IF(D45=0,"",IF(MIN(G45:L45)&gt;=1000000,0,MATCH(MIN(G45:L45),G45:L45,0)))</x:f>
        <x:v>4</x:v>
      </x:c>
      <x:c r="G45" s="2" t="n">
        <x:f>IF(OR($D45=0,INDEX('希望休'!$B$7:$AF$12,1,$B45)&lt;&gt;"可",COUNTIFS($A$7:A44,$A45,$F$7:F44,1)&gt;0,COUNTIF($F$7:F44,1)&gt;='設定'!C7,M43&gt;='設定'!D7),1000000,COUNTIF($F$7:F44,1)*100+MOD(0+10+'設定'!$F$3,6))</x:f>
        <x:v>604</x:v>
      </x:c>
      <x:c r="H45" s="2" t="n">
        <x:f>IF(OR($D45=0,INDEX('希望休'!$B$7:$AF$12,2,$B45)&lt;&gt;"可",COUNTIFS($A$7:A44,$A45,$F$7:F44,2)&gt;0,COUNTIF($F$7:F44,2)&gt;='設定'!C8,N43&gt;='設定'!D8),1000000,COUNTIF($F$7:F44,2)*100+MOD(1+10+'設定'!$F$3,6))</x:f>
        <x:v>605</x:v>
      </x:c>
      <x:c r="I45" s="2" t="n">
        <x:f>IF(OR($D45=0,INDEX('希望休'!$B$7:$AF$12,3,$B45)&lt;&gt;"可",COUNTIFS($A$7:A44,$A45,$F$7:F44,3)&gt;0,COUNTIF($F$7:F44,3)&gt;='設定'!C9,O43&gt;='設定'!D9),1000000,COUNTIF($F$7:F44,3)*100+MOD(2+10+'設定'!$F$3,6))</x:f>
        <x:v>1000000</x:v>
      </x:c>
      <x:c r="J45" s="2" t="n">
        <x:f>IF(OR($D45=0,INDEX('希望休'!$B$7:$AF$12,4,$B45)&lt;&gt;"可",COUNTIFS($A$7:A44,$A45,$F$7:F44,4)&gt;0,COUNTIF($F$7:F44,4)&gt;='設定'!C10,P43&gt;='設定'!D10),1000000,COUNTIF($F$7:F44,4)*100+MOD(3+10+'設定'!$F$3,6))</x:f>
        <x:v>601</x:v>
      </x:c>
      <x:c r="K45" s="2" t="n">
        <x:f>IF(OR($D45=0,INDEX('希望休'!$B$7:$AF$12,5,$B45)&lt;&gt;"可",COUNTIFS($A$7:A44,$A45,$F$7:F44,5)&gt;0,COUNTIF($F$7:F44,5)&gt;='設定'!C11,Q43&gt;='設定'!D11),1000000,COUNTIF($F$7:F44,5)*100+MOD(4+10+'設定'!$F$3,6))</x:f>
        <x:v>602</x:v>
      </x:c>
      <x:c r="L45" s="2" t="n">
        <x:f>IF(OR($D45=0,INDEX('希望休'!$B$7:$AF$12,6,$B45)&lt;&gt;"可",COUNTIFS($A$7:A44,$A45,$F$7:F44,6)&gt;0,COUNTIF($F$7:F44,6)&gt;='設定'!C12,R43&gt;='設定'!D12),1000000,COUNTIF($F$7:F44,6)*100+MOD(5+10+'設定'!$F$3,6))</x:f>
        <x:v>603</x:v>
      </x:c>
      <x:c r="M45" s="2" t="n">
        <x:f>IF($A45="",0,IF(COUNTIF($F$44:F45,1)&gt;0,M43+1,0))</x:f>
        <x:v>0</x:v>
      </x:c>
      <x:c r="N45" s="2" t="n">
        <x:f>IF($A45="",0,IF(COUNTIF($F$44:F45,2)&gt;0,N43+1,0))</x:f>
        <x:v>0</x:v>
      </x:c>
      <x:c r="O45" s="2" t="n">
        <x:f>IF($A45="",0,IF(COUNTIF($F$44:F45,3)&gt;0,O43+1,0))</x:f>
        <x:v>2</x:v>
      </x:c>
      <x:c r="P45" s="2" t="n">
        <x:f>IF($A45="",0,IF(COUNTIF($F$44:F45,4)&gt;0,P43+1,0))</x:f>
        <x:v>3</x:v>
      </x:c>
      <x:c r="Q45" s="2" t="n">
        <x:f>IF($A45="",0,IF(COUNTIF($F$44:F45,5)&gt;0,Q43+1,0))</x:f>
        <x:v>0</x:v>
      </x:c>
      <x:c r="R45" s="2" t="n">
        <x:f>IF($A45="",0,IF(COUNTIF($F$44:F45,6)&gt;0,R43+1,0))</x:f>
        <x:v>0</x:v>
      </x:c>
    </x:row>
    <x:row r="46" ht="24" customHeight="1">
      <x:c r="A46" s="15" t="n">
        <x:f>'設定'!K16</x:f>
        <x:v>46275</x:v>
      </x:c>
      <x:c r="B46" s="2" t="n">
        <x:f>10</x:f>
        <x:v>10</x:v>
      </x:c>
      <x:c r="C46" s="2" t="str">
        <x:f>"遅"</x:f>
        <x:v>遅</x:v>
      </x:c>
      <x:c r="D46" s="2" t="n">
        <x:f>IF(AND('設定'!$B$21="入力OK",'設定'!K16&lt;&gt;"",'設定'!K18&gt;=1),1,0)</x:f>
        <x:v>1</x:v>
      </x:c>
      <x:c r="E46" s="2" t="str">
        <x:f>IF(D46=0,"",IF(F46=0,"不足",INDEX('設定'!$B$7:$B$12,F46)))</x:f>
        <x:v>スタッフE</x:v>
      </x:c>
      <x:c r="F46" s="2" t="n">
        <x:f>IF(D46=0,"",IF(MIN(G46:L46)&gt;=1000000,0,MATCH(MIN(G46:L46),G46:L46,0)))</x:f>
        <x:v>5</x:v>
      </x:c>
      <x:c r="G46" s="2" t="n">
        <x:f>IF(OR($D46=0,INDEX('希望休'!$B$7:$AF$12,1,$B46)&lt;&gt;"可",COUNTIFS($A$7:A45,$A46,$F$7:F45,1)&gt;0,COUNTIF($F$7:F45,1)&gt;='設定'!C7,M43&gt;='設定'!D7),1000000,COUNTIF($F$7:F45,1)*100+MOD(0+10+'設定'!$F$3,6))</x:f>
        <x:v>604</x:v>
      </x:c>
      <x:c r="H46" s="2" t="n">
        <x:f>IF(OR($D46=0,INDEX('希望休'!$B$7:$AF$12,2,$B46)&lt;&gt;"可",COUNTIFS($A$7:A45,$A46,$F$7:F45,2)&gt;0,COUNTIF($F$7:F45,2)&gt;='設定'!C8,N43&gt;='設定'!D8),1000000,COUNTIF($F$7:F45,2)*100+MOD(1+10+'設定'!$F$3,6))</x:f>
        <x:v>605</x:v>
      </x:c>
      <x:c r="I46" s="2" t="n">
        <x:f>IF(OR($D46=0,INDEX('希望休'!$B$7:$AF$12,3,$B46)&lt;&gt;"可",COUNTIFS($A$7:A45,$A46,$F$7:F45,3)&gt;0,COUNTIF($F$7:F45,3)&gt;='設定'!C9,O43&gt;='設定'!D9),1000000,COUNTIF($F$7:F45,3)*100+MOD(2+10+'設定'!$F$3,6))</x:f>
        <x:v>1000000</x:v>
      </x:c>
      <x:c r="J46" s="2" t="n">
        <x:f>IF(OR($D46=0,INDEX('希望休'!$B$7:$AF$12,4,$B46)&lt;&gt;"可",COUNTIFS($A$7:A45,$A46,$F$7:F45,4)&gt;0,COUNTIF($F$7:F45,4)&gt;='設定'!C10,P43&gt;='設定'!D10),1000000,COUNTIF($F$7:F45,4)*100+MOD(3+10+'設定'!$F$3,6))</x:f>
        <x:v>1000000</x:v>
      </x:c>
      <x:c r="K46" s="2" t="n">
        <x:f>IF(OR($D46=0,INDEX('希望休'!$B$7:$AF$12,5,$B46)&lt;&gt;"可",COUNTIFS($A$7:A45,$A46,$F$7:F45,5)&gt;0,COUNTIF($F$7:F45,5)&gt;='設定'!C11,Q43&gt;='設定'!D11),1000000,COUNTIF($F$7:F45,5)*100+MOD(4+10+'設定'!$F$3,6))</x:f>
        <x:v>602</x:v>
      </x:c>
      <x:c r="L46" s="2" t="n">
        <x:f>IF(OR($D46=0,INDEX('希望休'!$B$7:$AF$12,6,$B46)&lt;&gt;"可",COUNTIFS($A$7:A45,$A46,$F$7:F45,6)&gt;0,COUNTIF($F$7:F45,6)&gt;='設定'!C12,R43&gt;='設定'!D12),1000000,COUNTIF($F$7:F45,6)*100+MOD(5+10+'設定'!$F$3,6))</x:f>
        <x:v>603</x:v>
      </x:c>
      <x:c r="M46" s="2" t="n">
        <x:f>IF($A46="",0,IF(COUNTIF($F$44:F46,1)&gt;0,M43+1,0))</x:f>
        <x:v>0</x:v>
      </x:c>
      <x:c r="N46" s="2" t="n">
        <x:f>IF($A46="",0,IF(COUNTIF($F$44:F46,2)&gt;0,N43+1,0))</x:f>
        <x:v>0</x:v>
      </x:c>
      <x:c r="O46" s="2" t="n">
        <x:f>IF($A46="",0,IF(COUNTIF($F$44:F46,3)&gt;0,O43+1,0))</x:f>
        <x:v>2</x:v>
      </x:c>
      <x:c r="P46" s="2" t="n">
        <x:f>IF($A46="",0,IF(COUNTIF($F$44:F46,4)&gt;0,P43+1,0))</x:f>
        <x:v>3</x:v>
      </x:c>
      <x:c r="Q46" s="2" t="n">
        <x:f>IF($A46="",0,IF(COUNTIF($F$44:F46,5)&gt;0,Q43+1,0))</x:f>
        <x:v>3</x:v>
      </x:c>
      <x:c r="R46" s="2" t="n">
        <x:f>IF($A46="",0,IF(COUNTIF($F$44:F46,6)&gt;0,R43+1,0))</x:f>
        <x:v>0</x:v>
      </x:c>
    </x:row>
    <x:row r="47" ht="24" customHeight="1">
      <x:c r="A47" s="15" t="n">
        <x:f>'設定'!K16</x:f>
        <x:v>46275</x:v>
      </x:c>
      <x:c r="B47" s="2" t="n">
        <x:f>10</x:f>
        <x:v>10</x:v>
      </x:c>
      <x:c r="C47" s="2" t="str">
        <x:f>"遅"</x:f>
        <x:v>遅</x:v>
      </x:c>
      <x:c r="D47" s="2" t="n">
        <x:f>IF(AND('設定'!$B$21="入力OK",'設定'!K16&lt;&gt;"",'設定'!K18&gt;=2),1,0)</x:f>
        <x:v>1</x:v>
      </x:c>
      <x:c r="E47" s="2" t="str">
        <x:f>IF(D47=0,"",IF(F47=0,"不足",INDEX('設定'!$B$7:$B$12,F47)))</x:f>
        <x:v>スタッフF</x:v>
      </x:c>
      <x:c r="F47" s="2" t="n">
        <x:f>IF(D47=0,"",IF(MIN(G47:L47)&gt;=1000000,0,MATCH(MIN(G47:L47),G47:L47,0)))</x:f>
        <x:v>6</x:v>
      </x:c>
      <x:c r="G47" s="2" t="n">
        <x:f>IF(OR($D47=0,INDEX('希望休'!$B$7:$AF$12,1,$B47)&lt;&gt;"可",COUNTIFS($A$7:A46,$A47,$F$7:F46,1)&gt;0,COUNTIF($F$7:F46,1)&gt;='設定'!C7,M43&gt;='設定'!D7),1000000,COUNTIF($F$7:F46,1)*100+MOD(0+10+'設定'!$F$3,6))</x:f>
        <x:v>604</x:v>
      </x:c>
      <x:c r="H47" s="2" t="n">
        <x:f>IF(OR($D47=0,INDEX('希望休'!$B$7:$AF$12,2,$B47)&lt;&gt;"可",COUNTIFS($A$7:A46,$A47,$F$7:F46,2)&gt;0,COUNTIF($F$7:F46,2)&gt;='設定'!C8,N43&gt;='設定'!D8),1000000,COUNTIF($F$7:F46,2)*100+MOD(1+10+'設定'!$F$3,6))</x:f>
        <x:v>605</x:v>
      </x:c>
      <x:c r="I47" s="2" t="n">
        <x:f>IF(OR($D47=0,INDEX('希望休'!$B$7:$AF$12,3,$B47)&lt;&gt;"可",COUNTIFS($A$7:A46,$A47,$F$7:F46,3)&gt;0,COUNTIF($F$7:F46,3)&gt;='設定'!C9,O43&gt;='設定'!D9),1000000,COUNTIF($F$7:F46,3)*100+MOD(2+10+'設定'!$F$3,6))</x:f>
        <x:v>1000000</x:v>
      </x:c>
      <x:c r="J47" s="2" t="n">
        <x:f>IF(OR($D47=0,INDEX('希望休'!$B$7:$AF$12,4,$B47)&lt;&gt;"可",COUNTIFS($A$7:A46,$A47,$F$7:F46,4)&gt;0,COUNTIF($F$7:F46,4)&gt;='設定'!C10,P43&gt;='設定'!D10),1000000,COUNTIF($F$7:F46,4)*100+MOD(3+10+'設定'!$F$3,6))</x:f>
        <x:v>1000000</x:v>
      </x:c>
      <x:c r="K47" s="2" t="n">
        <x:f>IF(OR($D47=0,INDEX('希望休'!$B$7:$AF$12,5,$B47)&lt;&gt;"可",COUNTIFS($A$7:A46,$A47,$F$7:F46,5)&gt;0,COUNTIF($F$7:F46,5)&gt;='設定'!C11,Q43&gt;='設定'!D11),1000000,COUNTIF($F$7:F46,5)*100+MOD(4+10+'設定'!$F$3,6))</x:f>
        <x:v>1000000</x:v>
      </x:c>
      <x:c r="L47" s="2" t="n">
        <x:f>IF(OR($D47=0,INDEX('希望休'!$B$7:$AF$12,6,$B47)&lt;&gt;"可",COUNTIFS($A$7:A46,$A47,$F$7:F46,6)&gt;0,COUNTIF($F$7:F46,6)&gt;='設定'!C12,R43&gt;='設定'!D12),1000000,COUNTIF($F$7:F46,6)*100+MOD(5+10+'設定'!$F$3,6))</x:f>
        <x:v>603</x:v>
      </x:c>
      <x:c r="M47" s="2" t="n">
        <x:f>IF($A47="",0,IF(COUNTIF($F$44:F47,1)&gt;0,M43+1,0))</x:f>
        <x:v>0</x:v>
      </x:c>
      <x:c r="N47" s="2" t="n">
        <x:f>IF($A47="",0,IF(COUNTIF($F$44:F47,2)&gt;0,N43+1,0))</x:f>
        <x:v>0</x:v>
      </x:c>
      <x:c r="O47" s="2" t="n">
        <x:f>IF($A47="",0,IF(COUNTIF($F$44:F47,3)&gt;0,O43+1,0))</x:f>
        <x:v>2</x:v>
      </x:c>
      <x:c r="P47" s="2" t="n">
        <x:f>IF($A47="",0,IF(COUNTIF($F$44:F47,4)&gt;0,P43+1,0))</x:f>
        <x:v>3</x:v>
      </x:c>
      <x:c r="Q47" s="2" t="n">
        <x:f>IF($A47="",0,IF(COUNTIF($F$44:F47,5)&gt;0,Q43+1,0))</x:f>
        <x:v>3</x:v>
      </x:c>
      <x:c r="R47" s="2" t="n">
        <x:f>IF($A47="",0,IF(COUNTIF($F$44:F47,6)&gt;0,R43+1,0))</x:f>
        <x:v>1</x:v>
      </x:c>
    </x:row>
    <x:row r="48" ht="24" customHeight="1">
      <x:c r="A48" s="15" t="n">
        <x:f>'設定'!L16</x:f>
        <x:v>46276</x:v>
      </x:c>
      <x:c r="B48" s="2" t="n">
        <x:f>11</x:f>
        <x:v>11</x:v>
      </x:c>
      <x:c r="C48" s="2" t="str">
        <x:f>"早"</x:f>
        <x:v>早</x:v>
      </x:c>
      <x:c r="D48" s="2" t="n">
        <x:f>IF(AND('設定'!$B$21="入力OK",'設定'!L16&lt;&gt;"",'設定'!L17&gt;=1),1,0)</x:f>
        <x:v>1</x:v>
      </x:c>
      <x:c r="E48" s="2" t="str">
        <x:f>IF(D48=0,"",IF(F48=0,"不足",INDEX('設定'!$B$7:$B$12,F48)))</x:f>
        <x:v>スタッフB</x:v>
      </x:c>
      <x:c r="F48" s="2" t="n">
        <x:f>IF(D48=0,"",IF(MIN(G48:L48)&gt;=1000000,0,MATCH(MIN(G48:L48),G48:L48,0)))</x:f>
        <x:v>2</x:v>
      </x:c>
      <x:c r="G48" s="2" t="n">
        <x:f>IF(OR($D48=0,INDEX('希望休'!$B$7:$AF$12,1,$B48)&lt;&gt;"可",COUNTIFS($A$7:A47,$A48,$F$7:F47,1)&gt;0,COUNTIF($F$7:F47,1)&gt;='設定'!C7,M47&gt;='設定'!D7),1000000,COUNTIF($F$7:F47,1)*100+MOD(0+11+'設定'!$F$3,6))</x:f>
        <x:v>605</x:v>
      </x:c>
      <x:c r="H48" s="2" t="n">
        <x:f>IF(OR($D48=0,INDEX('希望休'!$B$7:$AF$12,2,$B48)&lt;&gt;"可",COUNTIFS($A$7:A47,$A48,$F$7:F47,2)&gt;0,COUNTIF($F$7:F47,2)&gt;='設定'!C8,N47&gt;='設定'!D8),1000000,COUNTIF($F$7:F47,2)*100+MOD(1+11+'設定'!$F$3,6))</x:f>
        <x:v>600</x:v>
      </x:c>
      <x:c r="I48" s="2" t="n">
        <x:f>IF(OR($D48=0,INDEX('希望休'!$B$7:$AF$12,3,$B48)&lt;&gt;"可",COUNTIFS($A$7:A47,$A48,$F$7:F47,3)&gt;0,COUNTIF($F$7:F47,3)&gt;='設定'!C9,O47&gt;='設定'!D9),1000000,COUNTIF($F$7:F47,3)*100+MOD(2+11+'設定'!$F$3,6))</x:f>
        <x:v>701</x:v>
      </x:c>
      <x:c r="J48" s="2" t="n">
        <x:f>IF(OR($D48=0,INDEX('希望休'!$B$7:$AF$12,4,$B48)&lt;&gt;"可",COUNTIFS($A$7:A47,$A48,$F$7:F47,4)&gt;0,COUNTIF($F$7:F47,4)&gt;='設定'!C10,P47&gt;='設定'!D10),1000000,COUNTIF($F$7:F47,4)*100+MOD(3+11+'設定'!$F$3,6))</x:f>
        <x:v>702</x:v>
      </x:c>
      <x:c r="K48" s="2" t="n">
        <x:f>IF(OR($D48=0,INDEX('希望休'!$B$7:$AF$12,5,$B48)&lt;&gt;"可",COUNTIFS($A$7:A47,$A48,$F$7:F47,5)&gt;0,COUNTIF($F$7:F47,5)&gt;='設定'!C11,Q47&gt;='設定'!D11),1000000,COUNTIF($F$7:F47,5)*100+MOD(4+11+'設定'!$F$3,6))</x:f>
        <x:v>703</x:v>
      </x:c>
      <x:c r="L48" s="2" t="n">
        <x:f>IF(OR($D48=0,INDEX('希望休'!$B$7:$AF$12,6,$B48)&lt;&gt;"可",COUNTIFS($A$7:A47,$A48,$F$7:F47,6)&gt;0,COUNTIF($F$7:F47,6)&gt;='設定'!C12,R47&gt;='設定'!D12),1000000,COUNTIF($F$7:F47,6)*100+MOD(5+11+'設定'!$F$3,6))</x:f>
        <x:v>704</x:v>
      </x:c>
      <x:c r="M48" s="2" t="n">
        <x:f>IF($A48="",0,IF(COUNTIF($F$48:F48,1)&gt;0,M47+1,0))</x:f>
        <x:v>0</x:v>
      </x:c>
      <x:c r="N48" s="2" t="n">
        <x:f>IF($A48="",0,IF(COUNTIF($F$48:F48,2)&gt;0,N47+1,0))</x:f>
        <x:v>1</x:v>
      </x:c>
      <x:c r="O48" s="2" t="n">
        <x:f>IF($A48="",0,IF(COUNTIF($F$48:F48,3)&gt;0,O47+1,0))</x:f>
        <x:v>0</x:v>
      </x:c>
      <x:c r="P48" s="2" t="n">
        <x:f>IF($A48="",0,IF(COUNTIF($F$48:F48,4)&gt;0,P47+1,0))</x:f>
        <x:v>0</x:v>
      </x:c>
      <x:c r="Q48" s="2" t="n">
        <x:f>IF($A48="",0,IF(COUNTIF($F$48:F48,5)&gt;0,Q47+1,0))</x:f>
        <x:v>0</x:v>
      </x:c>
      <x:c r="R48" s="2" t="n">
        <x:f>IF($A48="",0,IF(COUNTIF($F$48:F48,6)&gt;0,R47+1,0))</x:f>
        <x:v>0</x:v>
      </x:c>
    </x:row>
    <x:row r="49" ht="24" customHeight="1">
      <x:c r="A49" s="15" t="n">
        <x:f>'設定'!L16</x:f>
        <x:v>46276</x:v>
      </x:c>
      <x:c r="B49" s="2" t="n">
        <x:f>11</x:f>
        <x:v>11</x:v>
      </x:c>
      <x:c r="C49" s="2" t="str">
        <x:f>"早"</x:f>
        <x:v>早</x:v>
      </x:c>
      <x:c r="D49" s="2" t="n">
        <x:f>IF(AND('設定'!$B$21="入力OK",'設定'!L16&lt;&gt;"",'設定'!L17&gt;=2),1,0)</x:f>
        <x:v>1</x:v>
      </x:c>
      <x:c r="E49" s="2" t="str">
        <x:f>IF(D49=0,"",IF(F49=0,"不足",INDEX('設定'!$B$7:$B$12,F49)))</x:f>
        <x:v>スタッフA</x:v>
      </x:c>
      <x:c r="F49" s="2" t="n">
        <x:f>IF(D49=0,"",IF(MIN(G49:L49)&gt;=1000000,0,MATCH(MIN(G49:L49),G49:L49,0)))</x:f>
        <x:v>1</x:v>
      </x:c>
      <x:c r="G49" s="2" t="n">
        <x:f>IF(OR($D49=0,INDEX('希望休'!$B$7:$AF$12,1,$B49)&lt;&gt;"可",COUNTIFS($A$7:A48,$A49,$F$7:F48,1)&gt;0,COUNTIF($F$7:F48,1)&gt;='設定'!C7,M47&gt;='設定'!D7),1000000,COUNTIF($F$7:F48,1)*100+MOD(0+11+'設定'!$F$3,6))</x:f>
        <x:v>605</x:v>
      </x:c>
      <x:c r="H49" s="2" t="n">
        <x:f>IF(OR($D49=0,INDEX('希望休'!$B$7:$AF$12,2,$B49)&lt;&gt;"可",COUNTIFS($A$7:A48,$A49,$F$7:F48,2)&gt;0,COUNTIF($F$7:F48,2)&gt;='設定'!C8,N47&gt;='設定'!D8),1000000,COUNTIF($F$7:F48,2)*100+MOD(1+11+'設定'!$F$3,6))</x:f>
        <x:v>1000000</x:v>
      </x:c>
      <x:c r="I49" s="2" t="n">
        <x:f>IF(OR($D49=0,INDEX('希望休'!$B$7:$AF$12,3,$B49)&lt;&gt;"可",COUNTIFS($A$7:A48,$A49,$F$7:F48,3)&gt;0,COUNTIF($F$7:F48,3)&gt;='設定'!C9,O47&gt;='設定'!D9),1000000,COUNTIF($F$7:F48,3)*100+MOD(2+11+'設定'!$F$3,6))</x:f>
        <x:v>701</x:v>
      </x:c>
      <x:c r="J49" s="2" t="n">
        <x:f>IF(OR($D49=0,INDEX('希望休'!$B$7:$AF$12,4,$B49)&lt;&gt;"可",COUNTIFS($A$7:A48,$A49,$F$7:F48,4)&gt;0,COUNTIF($F$7:F48,4)&gt;='設定'!C10,P47&gt;='設定'!D10),1000000,COUNTIF($F$7:F48,4)*100+MOD(3+11+'設定'!$F$3,6))</x:f>
        <x:v>702</x:v>
      </x:c>
      <x:c r="K49" s="2" t="n">
        <x:f>IF(OR($D49=0,INDEX('希望休'!$B$7:$AF$12,5,$B49)&lt;&gt;"可",COUNTIFS($A$7:A48,$A49,$F$7:F48,5)&gt;0,COUNTIF($F$7:F48,5)&gt;='設定'!C11,Q47&gt;='設定'!D11),1000000,COUNTIF($F$7:F48,5)*100+MOD(4+11+'設定'!$F$3,6))</x:f>
        <x:v>703</x:v>
      </x:c>
      <x:c r="L49" s="2" t="n">
        <x:f>IF(OR($D49=0,INDEX('希望休'!$B$7:$AF$12,6,$B49)&lt;&gt;"可",COUNTIFS($A$7:A48,$A49,$F$7:F48,6)&gt;0,COUNTIF($F$7:F48,6)&gt;='設定'!C12,R47&gt;='設定'!D12),1000000,COUNTIF($F$7:F48,6)*100+MOD(5+11+'設定'!$F$3,6))</x:f>
        <x:v>704</x:v>
      </x:c>
      <x:c r="M49" s="2" t="n">
        <x:f>IF($A49="",0,IF(COUNTIF($F$48:F49,1)&gt;0,M47+1,0))</x:f>
        <x:v>1</x:v>
      </x:c>
      <x:c r="N49" s="2" t="n">
        <x:f>IF($A49="",0,IF(COUNTIF($F$48:F49,2)&gt;0,N47+1,0))</x:f>
        <x:v>1</x:v>
      </x:c>
      <x:c r="O49" s="2" t="n">
        <x:f>IF($A49="",0,IF(COUNTIF($F$48:F49,3)&gt;0,O47+1,0))</x:f>
        <x:v>0</x:v>
      </x:c>
      <x:c r="P49" s="2" t="n">
        <x:f>IF($A49="",0,IF(COUNTIF($F$48:F49,4)&gt;0,P47+1,0))</x:f>
        <x:v>0</x:v>
      </x:c>
      <x:c r="Q49" s="2" t="n">
        <x:f>IF($A49="",0,IF(COUNTIF($F$48:F49,5)&gt;0,Q47+1,0))</x:f>
        <x:v>0</x:v>
      </x:c>
      <x:c r="R49" s="2" t="n">
        <x:f>IF($A49="",0,IF(COUNTIF($F$48:F49,6)&gt;0,R47+1,0))</x:f>
        <x:v>0</x:v>
      </x:c>
    </x:row>
    <x:row r="50" ht="24" customHeight="1">
      <x:c r="A50" s="15" t="n">
        <x:f>'設定'!L16</x:f>
        <x:v>46276</x:v>
      </x:c>
      <x:c r="B50" s="2" t="n">
        <x:f>11</x:f>
        <x:v>11</x:v>
      </x:c>
      <x:c r="C50" s="2" t="str">
        <x:f>"遅"</x:f>
        <x:v>遅</x:v>
      </x:c>
      <x:c r="D50" s="2" t="n">
        <x:f>IF(AND('設定'!$B$21="入力OK",'設定'!L16&lt;&gt;"",'設定'!L18&gt;=1),1,0)</x:f>
        <x:v>1</x:v>
      </x:c>
      <x:c r="E50" s="2" t="str">
        <x:f>IF(D50=0,"",IF(F50=0,"不足",INDEX('設定'!$B$7:$B$12,F50)))</x:f>
        <x:v>スタッフC</x:v>
      </x:c>
      <x:c r="F50" s="2" t="n">
        <x:f>IF(D50=0,"",IF(MIN(G50:L50)&gt;=1000000,0,MATCH(MIN(G50:L50),G50:L50,0)))</x:f>
        <x:v>3</x:v>
      </x:c>
      <x:c r="G50" s="2" t="n">
        <x:f>IF(OR($D50=0,INDEX('希望休'!$B$7:$AF$12,1,$B50)&lt;&gt;"可",COUNTIFS($A$7:A49,$A50,$F$7:F49,1)&gt;0,COUNTIF($F$7:F49,1)&gt;='設定'!C7,M47&gt;='設定'!D7),1000000,COUNTIF($F$7:F49,1)*100+MOD(0+11+'設定'!$F$3,6))</x:f>
        <x:v>1000000</x:v>
      </x:c>
      <x:c r="H50" s="2" t="n">
        <x:f>IF(OR($D50=0,INDEX('希望休'!$B$7:$AF$12,2,$B50)&lt;&gt;"可",COUNTIFS($A$7:A49,$A50,$F$7:F49,2)&gt;0,COUNTIF($F$7:F49,2)&gt;='設定'!C8,N47&gt;='設定'!D8),1000000,COUNTIF($F$7:F49,2)*100+MOD(1+11+'設定'!$F$3,6))</x:f>
        <x:v>1000000</x:v>
      </x:c>
      <x:c r="I50" s="2" t="n">
        <x:f>IF(OR($D50=0,INDEX('希望休'!$B$7:$AF$12,3,$B50)&lt;&gt;"可",COUNTIFS($A$7:A49,$A50,$F$7:F49,3)&gt;0,COUNTIF($F$7:F49,3)&gt;='設定'!C9,O47&gt;='設定'!D9),1000000,COUNTIF($F$7:F49,3)*100+MOD(2+11+'設定'!$F$3,6))</x:f>
        <x:v>701</x:v>
      </x:c>
      <x:c r="J50" s="2" t="n">
        <x:f>IF(OR($D50=0,INDEX('希望休'!$B$7:$AF$12,4,$B50)&lt;&gt;"可",COUNTIFS($A$7:A49,$A50,$F$7:F49,4)&gt;0,COUNTIF($F$7:F49,4)&gt;='設定'!C10,P47&gt;='設定'!D10),1000000,COUNTIF($F$7:F49,4)*100+MOD(3+11+'設定'!$F$3,6))</x:f>
        <x:v>702</x:v>
      </x:c>
      <x:c r="K50" s="2" t="n">
        <x:f>IF(OR($D50=0,INDEX('希望休'!$B$7:$AF$12,5,$B50)&lt;&gt;"可",COUNTIFS($A$7:A49,$A50,$F$7:F49,5)&gt;0,COUNTIF($F$7:F49,5)&gt;='設定'!C11,Q47&gt;='設定'!D11),1000000,COUNTIF($F$7:F49,5)*100+MOD(4+11+'設定'!$F$3,6))</x:f>
        <x:v>703</x:v>
      </x:c>
      <x:c r="L50" s="2" t="n">
        <x:f>IF(OR($D50=0,INDEX('希望休'!$B$7:$AF$12,6,$B50)&lt;&gt;"可",COUNTIFS($A$7:A49,$A50,$F$7:F49,6)&gt;0,COUNTIF($F$7:F49,6)&gt;='設定'!C12,R47&gt;='設定'!D12),1000000,COUNTIF($F$7:F49,6)*100+MOD(5+11+'設定'!$F$3,6))</x:f>
        <x:v>704</x:v>
      </x:c>
      <x:c r="M50" s="2" t="n">
        <x:f>IF($A50="",0,IF(COUNTIF($F$48:F50,1)&gt;0,M47+1,0))</x:f>
        <x:v>1</x:v>
      </x:c>
      <x:c r="N50" s="2" t="n">
        <x:f>IF($A50="",0,IF(COUNTIF($F$48:F50,2)&gt;0,N47+1,0))</x:f>
        <x:v>1</x:v>
      </x:c>
      <x:c r="O50" s="2" t="n">
        <x:f>IF($A50="",0,IF(COUNTIF($F$48:F50,3)&gt;0,O47+1,0))</x:f>
        <x:v>3</x:v>
      </x:c>
      <x:c r="P50" s="2" t="n">
        <x:f>IF($A50="",0,IF(COUNTIF($F$48:F50,4)&gt;0,P47+1,0))</x:f>
        <x:v>0</x:v>
      </x:c>
      <x:c r="Q50" s="2" t="n">
        <x:f>IF($A50="",0,IF(COUNTIF($F$48:F50,5)&gt;0,Q47+1,0))</x:f>
        <x:v>0</x:v>
      </x:c>
      <x:c r="R50" s="2" t="n">
        <x:f>IF($A50="",0,IF(COUNTIF($F$48:F50,6)&gt;0,R47+1,0))</x:f>
        <x:v>0</x:v>
      </x:c>
    </x:row>
    <x:row r="51" ht="24" customHeight="1">
      <x:c r="A51" s="15" t="n">
        <x:f>'設定'!L16</x:f>
        <x:v>46276</x:v>
      </x:c>
      <x:c r="B51" s="2" t="n">
        <x:f>11</x:f>
        <x:v>11</x:v>
      </x:c>
      <x:c r="C51" s="2" t="str">
        <x:f>"遅"</x:f>
        <x:v>遅</x:v>
      </x:c>
      <x:c r="D51" s="2" t="n">
        <x:f>IF(AND('設定'!$B$21="入力OK",'設定'!L16&lt;&gt;"",'設定'!L18&gt;=2),1,0)</x:f>
        <x:v>1</x:v>
      </x:c>
      <x:c r="E51" s="2" t="str">
        <x:f>IF(D51=0,"",IF(F51=0,"不足",INDEX('設定'!$B$7:$B$12,F51)))</x:f>
        <x:v>スタッフD</x:v>
      </x:c>
      <x:c r="F51" s="2" t="n">
        <x:f>IF(D51=0,"",IF(MIN(G51:L51)&gt;=1000000,0,MATCH(MIN(G51:L51),G51:L51,0)))</x:f>
        <x:v>4</x:v>
      </x:c>
      <x:c r="G51" s="2" t="n">
        <x:f>IF(OR($D51=0,INDEX('希望休'!$B$7:$AF$12,1,$B51)&lt;&gt;"可",COUNTIFS($A$7:A50,$A51,$F$7:F50,1)&gt;0,COUNTIF($F$7:F50,1)&gt;='設定'!C7,M47&gt;='設定'!D7),1000000,COUNTIF($F$7:F50,1)*100+MOD(0+11+'設定'!$F$3,6))</x:f>
        <x:v>1000000</x:v>
      </x:c>
      <x:c r="H51" s="2" t="n">
        <x:f>IF(OR($D51=0,INDEX('希望休'!$B$7:$AF$12,2,$B51)&lt;&gt;"可",COUNTIFS($A$7:A50,$A51,$F$7:F50,2)&gt;0,COUNTIF($F$7:F50,2)&gt;='設定'!C8,N47&gt;='設定'!D8),1000000,COUNTIF($F$7:F50,2)*100+MOD(1+11+'設定'!$F$3,6))</x:f>
        <x:v>1000000</x:v>
      </x:c>
      <x:c r="I51" s="2" t="n">
        <x:f>IF(OR($D51=0,INDEX('希望休'!$B$7:$AF$12,3,$B51)&lt;&gt;"可",COUNTIFS($A$7:A50,$A51,$F$7:F50,3)&gt;0,COUNTIF($F$7:F50,3)&gt;='設定'!C9,O47&gt;='設定'!D9),1000000,COUNTIF($F$7:F50,3)*100+MOD(2+11+'設定'!$F$3,6))</x:f>
        <x:v>1000000</x:v>
      </x:c>
      <x:c r="J51" s="2" t="n">
        <x:f>IF(OR($D51=0,INDEX('希望休'!$B$7:$AF$12,4,$B51)&lt;&gt;"可",COUNTIFS($A$7:A50,$A51,$F$7:F50,4)&gt;0,COUNTIF($F$7:F50,4)&gt;='設定'!C10,P47&gt;='設定'!D10),1000000,COUNTIF($F$7:F50,4)*100+MOD(3+11+'設定'!$F$3,6))</x:f>
        <x:v>702</x:v>
      </x:c>
      <x:c r="K51" s="2" t="n">
        <x:f>IF(OR($D51=0,INDEX('希望休'!$B$7:$AF$12,5,$B51)&lt;&gt;"可",COUNTIFS($A$7:A50,$A51,$F$7:F50,5)&gt;0,COUNTIF($F$7:F50,5)&gt;='設定'!C11,Q47&gt;='設定'!D11),1000000,COUNTIF($F$7:F50,5)*100+MOD(4+11+'設定'!$F$3,6))</x:f>
        <x:v>703</x:v>
      </x:c>
      <x:c r="L51" s="2" t="n">
        <x:f>IF(OR($D51=0,INDEX('希望休'!$B$7:$AF$12,6,$B51)&lt;&gt;"可",COUNTIFS($A$7:A50,$A51,$F$7:F50,6)&gt;0,COUNTIF($F$7:F50,6)&gt;='設定'!C12,R47&gt;='設定'!D12),1000000,COUNTIF($F$7:F50,6)*100+MOD(5+11+'設定'!$F$3,6))</x:f>
        <x:v>704</x:v>
      </x:c>
      <x:c r="M51" s="2" t="n">
        <x:f>IF($A51="",0,IF(COUNTIF($F$48:F51,1)&gt;0,M47+1,0))</x:f>
        <x:v>1</x:v>
      </x:c>
      <x:c r="N51" s="2" t="n">
        <x:f>IF($A51="",0,IF(COUNTIF($F$48:F51,2)&gt;0,N47+1,0))</x:f>
        <x:v>1</x:v>
      </x:c>
      <x:c r="O51" s="2" t="n">
        <x:f>IF($A51="",0,IF(COUNTIF($F$48:F51,3)&gt;0,O47+1,0))</x:f>
        <x:v>3</x:v>
      </x:c>
      <x:c r="P51" s="2" t="n">
        <x:f>IF($A51="",0,IF(COUNTIF($F$48:F51,4)&gt;0,P47+1,0))</x:f>
        <x:v>4</x:v>
      </x:c>
      <x:c r="Q51" s="2" t="n">
        <x:f>IF($A51="",0,IF(COUNTIF($F$48:F51,5)&gt;0,Q47+1,0))</x:f>
        <x:v>0</x:v>
      </x:c>
      <x:c r="R51" s="2" t="n">
        <x:f>IF($A51="",0,IF(COUNTIF($F$48:F51,6)&gt;0,R47+1,0))</x:f>
        <x:v>0</x:v>
      </x:c>
    </x:row>
    <x:row r="52" ht="24" customHeight="1">
      <x:c r="A52" s="15" t="n">
        <x:f>'設定'!M16</x:f>
        <x:v>46277</x:v>
      </x:c>
      <x:c r="B52" s="2" t="n">
        <x:f>12</x:f>
        <x:v>12</x:v>
      </x:c>
      <x:c r="C52" s="2" t="str">
        <x:f>"早"</x:f>
        <x:v>早</x:v>
      </x:c>
      <x:c r="D52" s="2" t="n">
        <x:f>IF(AND('設定'!$B$21="入力OK",'設定'!M16&lt;&gt;"",'設定'!M17&gt;=1),1,0)</x:f>
        <x:v>1</x:v>
      </x:c>
      <x:c r="E52" s="2" t="str">
        <x:f>IF(D52=0,"",IF(F52=0,"不足",INDEX('設定'!$B$7:$B$12,F52)))</x:f>
        <x:v>スタッフA</x:v>
      </x:c>
      <x:c r="F52" s="2" t="n">
        <x:f>IF(D52=0,"",IF(MIN(G52:L52)&gt;=1000000,0,MATCH(MIN(G52:L52),G52:L52,0)))</x:f>
        <x:v>1</x:v>
      </x:c>
      <x:c r="G52" s="2" t="n">
        <x:f>IF(OR($D52=0,INDEX('希望休'!$B$7:$AF$12,1,$B52)&lt;&gt;"可",COUNTIFS($A$7:A51,$A52,$F$7:F51,1)&gt;0,COUNTIF($F$7:F51,1)&gt;='設定'!C7,M51&gt;='設定'!D7),1000000,COUNTIF($F$7:F51,1)*100+MOD(0+12+'設定'!$F$3,6))</x:f>
        <x:v>700</x:v>
      </x:c>
      <x:c r="H52" s="2" t="n">
        <x:f>IF(OR($D52=0,INDEX('希望休'!$B$7:$AF$12,2,$B52)&lt;&gt;"可",COUNTIFS($A$7:A51,$A52,$F$7:F51,2)&gt;0,COUNTIF($F$7:F51,2)&gt;='設定'!C8,N51&gt;='設定'!D8),1000000,COUNTIF($F$7:F51,2)*100+MOD(1+12+'設定'!$F$3,6))</x:f>
        <x:v>701</x:v>
      </x:c>
      <x:c r="I52" s="2" t="n">
        <x:f>IF(OR($D52=0,INDEX('希望休'!$B$7:$AF$12,3,$B52)&lt;&gt;"可",COUNTIFS($A$7:A51,$A52,$F$7:F51,3)&gt;0,COUNTIF($F$7:F51,3)&gt;='設定'!C9,O51&gt;='設定'!D9),1000000,COUNTIF($F$7:F51,3)*100+MOD(2+12+'設定'!$F$3,6))</x:f>
        <x:v>802</x:v>
      </x:c>
      <x:c r="J52" s="2" t="n">
        <x:f>IF(OR($D52=0,INDEX('希望休'!$B$7:$AF$12,4,$B52)&lt;&gt;"可",COUNTIFS($A$7:A51,$A52,$F$7:F51,4)&gt;0,COUNTIF($F$7:F51,4)&gt;='設定'!C10,P51&gt;='設定'!D10),1000000,COUNTIF($F$7:F51,4)*100+MOD(3+12+'設定'!$F$3,6))</x:f>
        <x:v>803</x:v>
      </x:c>
      <x:c r="K52" s="2" t="n">
        <x:f>IF(OR($D52=0,INDEX('希望休'!$B$7:$AF$12,5,$B52)&lt;&gt;"可",COUNTIFS($A$7:A51,$A52,$F$7:F51,5)&gt;0,COUNTIF($F$7:F51,5)&gt;='設定'!C11,Q51&gt;='設定'!D11),1000000,COUNTIF($F$7:F51,5)*100+MOD(4+12+'設定'!$F$3,6))</x:f>
        <x:v>704</x:v>
      </x:c>
      <x:c r="L52" s="2" t="n">
        <x:f>IF(OR($D52=0,INDEX('希望休'!$B$7:$AF$12,6,$B52)&lt;&gt;"可",COUNTIFS($A$7:A51,$A52,$F$7:F51,6)&gt;0,COUNTIF($F$7:F51,6)&gt;='設定'!C12,R51&gt;='設定'!D12),1000000,COUNTIF($F$7:F51,6)*100+MOD(5+12+'設定'!$F$3,6))</x:f>
        <x:v>705</x:v>
      </x:c>
      <x:c r="M52" s="2" t="n">
        <x:f>IF($A52="",0,IF(COUNTIF($F$52:F52,1)&gt;0,M51+1,0))</x:f>
        <x:v>2</x:v>
      </x:c>
      <x:c r="N52" s="2" t="n">
        <x:f>IF($A52="",0,IF(COUNTIF($F$52:F52,2)&gt;0,N51+1,0))</x:f>
        <x:v>0</x:v>
      </x:c>
      <x:c r="O52" s="2" t="n">
        <x:f>IF($A52="",0,IF(COUNTIF($F$52:F52,3)&gt;0,O51+1,0))</x:f>
        <x:v>0</x:v>
      </x:c>
      <x:c r="P52" s="2" t="n">
        <x:f>IF($A52="",0,IF(COUNTIF($F$52:F52,4)&gt;0,P51+1,0))</x:f>
        <x:v>0</x:v>
      </x:c>
      <x:c r="Q52" s="2" t="n">
        <x:f>IF($A52="",0,IF(COUNTIF($F$52:F52,5)&gt;0,Q51+1,0))</x:f>
        <x:v>0</x:v>
      </x:c>
      <x:c r="R52" s="2" t="n">
        <x:f>IF($A52="",0,IF(COUNTIF($F$52:F52,6)&gt;0,R51+1,0))</x:f>
        <x:v>0</x:v>
      </x:c>
    </x:row>
    <x:row r="53" ht="24" customHeight="1">
      <x:c r="A53" s="15" t="n">
        <x:f>'設定'!M16</x:f>
        <x:v>46277</x:v>
      </x:c>
      <x:c r="B53" s="2" t="n">
        <x:f>12</x:f>
        <x:v>12</x:v>
      </x:c>
      <x:c r="C53" s="2" t="str">
        <x:f>"早"</x:f>
        <x:v>早</x:v>
      </x:c>
      <x:c r="D53" s="2" t="n">
        <x:f>IF(AND('設定'!$B$21="入力OK",'設定'!M16&lt;&gt;"",'設定'!M17&gt;=2),1,0)</x:f>
        <x:v>1</x:v>
      </x:c>
      <x:c r="E53" s="2" t="str">
        <x:f>IF(D53=0,"",IF(F53=0,"不足",INDEX('設定'!$B$7:$B$12,F53)))</x:f>
        <x:v>スタッフB</x:v>
      </x:c>
      <x:c r="F53" s="2" t="n">
        <x:f>IF(D53=0,"",IF(MIN(G53:L53)&gt;=1000000,0,MATCH(MIN(G53:L53),G53:L53,0)))</x:f>
        <x:v>2</x:v>
      </x:c>
      <x:c r="G53" s="2" t="n">
        <x:f>IF(OR($D53=0,INDEX('希望休'!$B$7:$AF$12,1,$B53)&lt;&gt;"可",COUNTIFS($A$7:A52,$A53,$F$7:F52,1)&gt;0,COUNTIF($F$7:F52,1)&gt;='設定'!C7,M51&gt;='設定'!D7),1000000,COUNTIF($F$7:F52,1)*100+MOD(0+12+'設定'!$F$3,6))</x:f>
        <x:v>1000000</x:v>
      </x:c>
      <x:c r="H53" s="2" t="n">
        <x:f>IF(OR($D53=0,INDEX('希望休'!$B$7:$AF$12,2,$B53)&lt;&gt;"可",COUNTIFS($A$7:A52,$A53,$F$7:F52,2)&gt;0,COUNTIF($F$7:F52,2)&gt;='設定'!C8,N51&gt;='設定'!D8),1000000,COUNTIF($F$7:F52,2)*100+MOD(1+12+'設定'!$F$3,6))</x:f>
        <x:v>701</x:v>
      </x:c>
      <x:c r="I53" s="2" t="n">
        <x:f>IF(OR($D53=0,INDEX('希望休'!$B$7:$AF$12,3,$B53)&lt;&gt;"可",COUNTIFS($A$7:A52,$A53,$F$7:F52,3)&gt;0,COUNTIF($F$7:F52,3)&gt;='設定'!C9,O51&gt;='設定'!D9),1000000,COUNTIF($F$7:F52,3)*100+MOD(2+12+'設定'!$F$3,6))</x:f>
        <x:v>802</x:v>
      </x:c>
      <x:c r="J53" s="2" t="n">
        <x:f>IF(OR($D53=0,INDEX('希望休'!$B$7:$AF$12,4,$B53)&lt;&gt;"可",COUNTIFS($A$7:A52,$A53,$F$7:F52,4)&gt;0,COUNTIF($F$7:F52,4)&gt;='設定'!C10,P51&gt;='設定'!D10),1000000,COUNTIF($F$7:F52,4)*100+MOD(3+12+'設定'!$F$3,6))</x:f>
        <x:v>803</x:v>
      </x:c>
      <x:c r="K53" s="2" t="n">
        <x:f>IF(OR($D53=0,INDEX('希望休'!$B$7:$AF$12,5,$B53)&lt;&gt;"可",COUNTIFS($A$7:A52,$A53,$F$7:F52,5)&gt;0,COUNTIF($F$7:F52,5)&gt;='設定'!C11,Q51&gt;='設定'!D11),1000000,COUNTIF($F$7:F52,5)*100+MOD(4+12+'設定'!$F$3,6))</x:f>
        <x:v>704</x:v>
      </x:c>
      <x:c r="L53" s="2" t="n">
        <x:f>IF(OR($D53=0,INDEX('希望休'!$B$7:$AF$12,6,$B53)&lt;&gt;"可",COUNTIFS($A$7:A52,$A53,$F$7:F52,6)&gt;0,COUNTIF($F$7:F52,6)&gt;='設定'!C12,R51&gt;='設定'!D12),1000000,COUNTIF($F$7:F52,6)*100+MOD(5+12+'設定'!$F$3,6))</x:f>
        <x:v>705</x:v>
      </x:c>
      <x:c r="M53" s="2" t="n">
        <x:f>IF($A53="",0,IF(COUNTIF($F$52:F53,1)&gt;0,M51+1,0))</x:f>
        <x:v>2</x:v>
      </x:c>
      <x:c r="N53" s="2" t="n">
        <x:f>IF($A53="",0,IF(COUNTIF($F$52:F53,2)&gt;0,N51+1,0))</x:f>
        <x:v>2</x:v>
      </x:c>
      <x:c r="O53" s="2" t="n">
        <x:f>IF($A53="",0,IF(COUNTIF($F$52:F53,3)&gt;0,O51+1,0))</x:f>
        <x:v>0</x:v>
      </x:c>
      <x:c r="P53" s="2" t="n">
        <x:f>IF($A53="",0,IF(COUNTIF($F$52:F53,4)&gt;0,P51+1,0))</x:f>
        <x:v>0</x:v>
      </x:c>
      <x:c r="Q53" s="2" t="n">
        <x:f>IF($A53="",0,IF(COUNTIF($F$52:F53,5)&gt;0,Q51+1,0))</x:f>
        <x:v>0</x:v>
      </x:c>
      <x:c r="R53" s="2" t="n">
        <x:f>IF($A53="",0,IF(COUNTIF($F$52:F53,6)&gt;0,R51+1,0))</x:f>
        <x:v>0</x:v>
      </x:c>
    </x:row>
    <x:row r="54" ht="24" customHeight="1">
      <x:c r="A54" s="15" t="n">
        <x:f>'設定'!M16</x:f>
        <x:v>46277</x:v>
      </x:c>
      <x:c r="B54" s="2" t="n">
        <x:f>12</x:f>
        <x:v>12</x:v>
      </x:c>
      <x:c r="C54" s="2" t="str">
        <x:f>"遅"</x:f>
        <x:v>遅</x:v>
      </x:c>
      <x:c r="D54" s="2" t="n">
        <x:f>IF(AND('設定'!$B$21="入力OK",'設定'!M16&lt;&gt;"",'設定'!M18&gt;=1),1,0)</x:f>
        <x:v>1</x:v>
      </x:c>
      <x:c r="E54" s="2" t="str">
        <x:f>IF(D54=0,"",IF(F54=0,"不足",INDEX('設定'!$B$7:$B$12,F54)))</x:f>
        <x:v>スタッフE</x:v>
      </x:c>
      <x:c r="F54" s="2" t="n">
        <x:f>IF(D54=0,"",IF(MIN(G54:L54)&gt;=1000000,0,MATCH(MIN(G54:L54),G54:L54,0)))</x:f>
        <x:v>5</x:v>
      </x:c>
      <x:c r="G54" s="2" t="n">
        <x:f>IF(OR($D54=0,INDEX('希望休'!$B$7:$AF$12,1,$B54)&lt;&gt;"可",COUNTIFS($A$7:A53,$A54,$F$7:F53,1)&gt;0,COUNTIF($F$7:F53,1)&gt;='設定'!C7,M51&gt;='設定'!D7),1000000,COUNTIF($F$7:F53,1)*100+MOD(0+12+'設定'!$F$3,6))</x:f>
        <x:v>1000000</x:v>
      </x:c>
      <x:c r="H54" s="2" t="n">
        <x:f>IF(OR($D54=0,INDEX('希望休'!$B$7:$AF$12,2,$B54)&lt;&gt;"可",COUNTIFS($A$7:A53,$A54,$F$7:F53,2)&gt;0,COUNTIF($F$7:F53,2)&gt;='設定'!C8,N51&gt;='設定'!D8),1000000,COUNTIF($F$7:F53,2)*100+MOD(1+12+'設定'!$F$3,6))</x:f>
        <x:v>1000000</x:v>
      </x:c>
      <x:c r="I54" s="2" t="n">
        <x:f>IF(OR($D54=0,INDEX('希望休'!$B$7:$AF$12,3,$B54)&lt;&gt;"可",COUNTIFS($A$7:A53,$A54,$F$7:F53,3)&gt;0,COUNTIF($F$7:F53,3)&gt;='設定'!C9,O51&gt;='設定'!D9),1000000,COUNTIF($F$7:F53,3)*100+MOD(2+12+'設定'!$F$3,6))</x:f>
        <x:v>802</x:v>
      </x:c>
      <x:c r="J54" s="2" t="n">
        <x:f>IF(OR($D54=0,INDEX('希望休'!$B$7:$AF$12,4,$B54)&lt;&gt;"可",COUNTIFS($A$7:A53,$A54,$F$7:F53,4)&gt;0,COUNTIF($F$7:F53,4)&gt;='設定'!C10,P51&gt;='設定'!D10),1000000,COUNTIF($F$7:F53,4)*100+MOD(3+12+'設定'!$F$3,6))</x:f>
        <x:v>803</x:v>
      </x:c>
      <x:c r="K54" s="2" t="n">
        <x:f>IF(OR($D54=0,INDEX('希望休'!$B$7:$AF$12,5,$B54)&lt;&gt;"可",COUNTIFS($A$7:A53,$A54,$F$7:F53,5)&gt;0,COUNTIF($F$7:F53,5)&gt;='設定'!C11,Q51&gt;='設定'!D11),1000000,COUNTIF($F$7:F53,5)*100+MOD(4+12+'設定'!$F$3,6))</x:f>
        <x:v>704</x:v>
      </x:c>
      <x:c r="L54" s="2" t="n">
        <x:f>IF(OR($D54=0,INDEX('希望休'!$B$7:$AF$12,6,$B54)&lt;&gt;"可",COUNTIFS($A$7:A53,$A54,$F$7:F53,6)&gt;0,COUNTIF($F$7:F53,6)&gt;='設定'!C12,R51&gt;='設定'!D12),1000000,COUNTIF($F$7:F53,6)*100+MOD(5+12+'設定'!$F$3,6))</x:f>
        <x:v>705</x:v>
      </x:c>
      <x:c r="M54" s="2" t="n">
        <x:f>IF($A54="",0,IF(COUNTIF($F$52:F54,1)&gt;0,M51+1,0))</x:f>
        <x:v>2</x:v>
      </x:c>
      <x:c r="N54" s="2" t="n">
        <x:f>IF($A54="",0,IF(COUNTIF($F$52:F54,2)&gt;0,N51+1,0))</x:f>
        <x:v>2</x:v>
      </x:c>
      <x:c r="O54" s="2" t="n">
        <x:f>IF($A54="",0,IF(COUNTIF($F$52:F54,3)&gt;0,O51+1,0))</x:f>
        <x:v>0</x:v>
      </x:c>
      <x:c r="P54" s="2" t="n">
        <x:f>IF($A54="",0,IF(COUNTIF($F$52:F54,4)&gt;0,P51+1,0))</x:f>
        <x:v>0</x:v>
      </x:c>
      <x:c r="Q54" s="2" t="n">
        <x:f>IF($A54="",0,IF(COUNTIF($F$52:F54,5)&gt;0,Q51+1,0))</x:f>
        <x:v>1</x:v>
      </x:c>
      <x:c r="R54" s="2" t="n">
        <x:f>IF($A54="",0,IF(COUNTIF($F$52:F54,6)&gt;0,R51+1,0))</x:f>
        <x:v>0</x:v>
      </x:c>
    </x:row>
    <x:row r="55" ht="24" customHeight="1">
      <x:c r="A55" s="15" t="n">
        <x:f>'設定'!M16</x:f>
        <x:v>46277</x:v>
      </x:c>
      <x:c r="B55" s="2" t="n">
        <x:f>12</x:f>
        <x:v>12</x:v>
      </x:c>
      <x:c r="C55" s="2" t="str">
        <x:f>"遅"</x:f>
        <x:v>遅</x:v>
      </x:c>
      <x:c r="D55" s="2" t="n">
        <x:f>IF(AND('設定'!$B$21="入力OK",'設定'!M16&lt;&gt;"",'設定'!M18&gt;=2),1,0)</x:f>
        <x:v>1</x:v>
      </x:c>
      <x:c r="E55" s="2" t="str">
        <x:f>IF(D55=0,"",IF(F55=0,"不足",INDEX('設定'!$B$7:$B$12,F55)))</x:f>
        <x:v>スタッフF</x:v>
      </x:c>
      <x:c r="F55" s="2" t="n">
        <x:f>IF(D55=0,"",IF(MIN(G55:L55)&gt;=1000000,0,MATCH(MIN(G55:L55),G55:L55,0)))</x:f>
        <x:v>6</x:v>
      </x:c>
      <x:c r="G55" s="2" t="n">
        <x:f>IF(OR($D55=0,INDEX('希望休'!$B$7:$AF$12,1,$B55)&lt;&gt;"可",COUNTIFS($A$7:A54,$A55,$F$7:F54,1)&gt;0,COUNTIF($F$7:F54,1)&gt;='設定'!C7,M51&gt;='設定'!D7),1000000,COUNTIF($F$7:F54,1)*100+MOD(0+12+'設定'!$F$3,6))</x:f>
        <x:v>1000000</x:v>
      </x:c>
      <x:c r="H55" s="2" t="n">
        <x:f>IF(OR($D55=0,INDEX('希望休'!$B$7:$AF$12,2,$B55)&lt;&gt;"可",COUNTIFS($A$7:A54,$A55,$F$7:F54,2)&gt;0,COUNTIF($F$7:F54,2)&gt;='設定'!C8,N51&gt;='設定'!D8),1000000,COUNTIF($F$7:F54,2)*100+MOD(1+12+'設定'!$F$3,6))</x:f>
        <x:v>1000000</x:v>
      </x:c>
      <x:c r="I55" s="2" t="n">
        <x:f>IF(OR($D55=0,INDEX('希望休'!$B$7:$AF$12,3,$B55)&lt;&gt;"可",COUNTIFS($A$7:A54,$A55,$F$7:F54,3)&gt;0,COUNTIF($F$7:F54,3)&gt;='設定'!C9,O51&gt;='設定'!D9),1000000,COUNTIF($F$7:F54,3)*100+MOD(2+12+'設定'!$F$3,6))</x:f>
        <x:v>802</x:v>
      </x:c>
      <x:c r="J55" s="2" t="n">
        <x:f>IF(OR($D55=0,INDEX('希望休'!$B$7:$AF$12,4,$B55)&lt;&gt;"可",COUNTIFS($A$7:A54,$A55,$F$7:F54,4)&gt;0,COUNTIF($F$7:F54,4)&gt;='設定'!C10,P51&gt;='設定'!D10),1000000,COUNTIF($F$7:F54,4)*100+MOD(3+12+'設定'!$F$3,6))</x:f>
        <x:v>803</x:v>
      </x:c>
      <x:c r="K55" s="2" t="n">
        <x:f>IF(OR($D55=0,INDEX('希望休'!$B$7:$AF$12,5,$B55)&lt;&gt;"可",COUNTIFS($A$7:A54,$A55,$F$7:F54,5)&gt;0,COUNTIF($F$7:F54,5)&gt;='設定'!C11,Q51&gt;='設定'!D11),1000000,COUNTIF($F$7:F54,5)*100+MOD(4+12+'設定'!$F$3,6))</x:f>
        <x:v>1000000</x:v>
      </x:c>
      <x:c r="L55" s="2" t="n">
        <x:f>IF(OR($D55=0,INDEX('希望休'!$B$7:$AF$12,6,$B55)&lt;&gt;"可",COUNTIFS($A$7:A54,$A55,$F$7:F54,6)&gt;0,COUNTIF($F$7:F54,6)&gt;='設定'!C12,R51&gt;='設定'!D12),1000000,COUNTIF($F$7:F54,6)*100+MOD(5+12+'設定'!$F$3,6))</x:f>
        <x:v>705</x:v>
      </x:c>
      <x:c r="M55" s="2" t="n">
        <x:f>IF($A55="",0,IF(COUNTIF($F$52:F55,1)&gt;0,M51+1,0))</x:f>
        <x:v>2</x:v>
      </x:c>
      <x:c r="N55" s="2" t="n">
        <x:f>IF($A55="",0,IF(COUNTIF($F$52:F55,2)&gt;0,N51+1,0))</x:f>
        <x:v>2</x:v>
      </x:c>
      <x:c r="O55" s="2" t="n">
        <x:f>IF($A55="",0,IF(COUNTIF($F$52:F55,3)&gt;0,O51+1,0))</x:f>
        <x:v>0</x:v>
      </x:c>
      <x:c r="P55" s="2" t="n">
        <x:f>IF($A55="",0,IF(COUNTIF($F$52:F55,4)&gt;0,P51+1,0))</x:f>
        <x:v>0</x:v>
      </x:c>
      <x:c r="Q55" s="2" t="n">
        <x:f>IF($A55="",0,IF(COUNTIF($F$52:F55,5)&gt;0,Q51+1,0))</x:f>
        <x:v>1</x:v>
      </x:c>
      <x:c r="R55" s="2" t="n">
        <x:f>IF($A55="",0,IF(COUNTIF($F$52:F55,6)&gt;0,R51+1,0))</x:f>
        <x:v>1</x:v>
      </x:c>
    </x:row>
    <x:row r="56" ht="24" customHeight="1">
      <x:c r="A56" s="15" t="n">
        <x:f>'設定'!N16</x:f>
        <x:v>46278</x:v>
      </x:c>
      <x:c r="B56" s="2" t="n">
        <x:f>13</x:f>
        <x:v>13</x:v>
      </x:c>
      <x:c r="C56" s="2" t="str">
        <x:f>"早"</x:f>
        <x:v>早</x:v>
      </x:c>
      <x:c r="D56" s="2" t="n">
        <x:f>IF(AND('設定'!$B$21="入力OK",'設定'!N16&lt;&gt;"",'設定'!N17&gt;=1),1,0)</x:f>
        <x:v>1</x:v>
      </x:c>
      <x:c r="E56" s="2" t="str">
        <x:f>IF(D56=0,"",IF(F56=0,"不足",INDEX('設定'!$B$7:$B$12,F56)))</x:f>
        <x:v>スタッフF</x:v>
      </x:c>
      <x:c r="F56" s="2" t="n">
        <x:f>IF(D56=0,"",IF(MIN(G56:L56)&gt;=1000000,0,MATCH(MIN(G56:L56),G56:L56,0)))</x:f>
        <x:v>6</x:v>
      </x:c>
      <x:c r="G56" s="2" t="n">
        <x:f>IF(OR($D56=0,INDEX('希望休'!$B$7:$AF$12,1,$B56)&lt;&gt;"可",COUNTIFS($A$7:A55,$A56,$F$7:F55,1)&gt;0,COUNTIF($F$7:F55,1)&gt;='設定'!C7,M55&gt;='設定'!D7),1000000,COUNTIF($F$7:F55,1)*100+MOD(0+13+'設定'!$F$3,6))</x:f>
        <x:v>1000000</x:v>
      </x:c>
      <x:c r="H56" s="2" t="n">
        <x:f>IF(OR($D56=0,INDEX('希望休'!$B$7:$AF$12,2,$B56)&lt;&gt;"可",COUNTIFS($A$7:A55,$A56,$F$7:F55,2)&gt;0,COUNTIF($F$7:F55,2)&gt;='設定'!C8,N55&gt;='設定'!D8),1000000,COUNTIF($F$7:F55,2)*100+MOD(1+13+'設定'!$F$3,6))</x:f>
        <x:v>802</x:v>
      </x:c>
      <x:c r="I56" s="2" t="n">
        <x:f>IF(OR($D56=0,INDEX('希望休'!$B$7:$AF$12,3,$B56)&lt;&gt;"可",COUNTIFS($A$7:A55,$A56,$F$7:F55,3)&gt;0,COUNTIF($F$7:F55,3)&gt;='設定'!C9,O55&gt;='設定'!D9),1000000,COUNTIF($F$7:F55,3)*100+MOD(2+13+'設定'!$F$3,6))</x:f>
        <x:v>803</x:v>
      </x:c>
      <x:c r="J56" s="2" t="n">
        <x:f>IF(OR($D56=0,INDEX('希望休'!$B$7:$AF$12,4,$B56)&lt;&gt;"可",COUNTIFS($A$7:A55,$A56,$F$7:F55,4)&gt;0,COUNTIF($F$7:F55,4)&gt;='設定'!C10,P55&gt;='設定'!D10),1000000,COUNTIF($F$7:F55,4)*100+MOD(3+13+'設定'!$F$3,6))</x:f>
        <x:v>804</x:v>
      </x:c>
      <x:c r="K56" s="2" t="n">
        <x:f>IF(OR($D56=0,INDEX('希望休'!$B$7:$AF$12,5,$B56)&lt;&gt;"可",COUNTIFS($A$7:A55,$A56,$F$7:F55,5)&gt;0,COUNTIF($F$7:F55,5)&gt;='設定'!C11,Q55&gt;='設定'!D11),1000000,COUNTIF($F$7:F55,5)*100+MOD(4+13+'設定'!$F$3,6))</x:f>
        <x:v>805</x:v>
      </x:c>
      <x:c r="L56" s="2" t="n">
        <x:f>IF(OR($D56=0,INDEX('希望休'!$B$7:$AF$12,6,$B56)&lt;&gt;"可",COUNTIFS($A$7:A55,$A56,$F$7:F55,6)&gt;0,COUNTIF($F$7:F55,6)&gt;='設定'!C12,R55&gt;='設定'!D12),1000000,COUNTIF($F$7:F55,6)*100+MOD(5+13+'設定'!$F$3,6))</x:f>
        <x:v>800</x:v>
      </x:c>
      <x:c r="M56" s="2" t="n">
        <x:f>IF($A56="",0,IF(COUNTIF($F$56:F56,1)&gt;0,M55+1,0))</x:f>
        <x:v>0</x:v>
      </x:c>
      <x:c r="N56" s="2" t="n">
        <x:f>IF($A56="",0,IF(COUNTIF($F$56:F56,2)&gt;0,N55+1,0))</x:f>
        <x:v>0</x:v>
      </x:c>
      <x:c r="O56" s="2" t="n">
        <x:f>IF($A56="",0,IF(COUNTIF($F$56:F56,3)&gt;0,O55+1,0))</x:f>
        <x:v>0</x:v>
      </x:c>
      <x:c r="P56" s="2" t="n">
        <x:f>IF($A56="",0,IF(COUNTIF($F$56:F56,4)&gt;0,P55+1,0))</x:f>
        <x:v>0</x:v>
      </x:c>
      <x:c r="Q56" s="2" t="n">
        <x:f>IF($A56="",0,IF(COUNTIF($F$56:F56,5)&gt;0,Q55+1,0))</x:f>
        <x:v>0</x:v>
      </x:c>
      <x:c r="R56" s="2" t="n">
        <x:f>IF($A56="",0,IF(COUNTIF($F$56:F56,6)&gt;0,R55+1,0))</x:f>
        <x:v>2</x:v>
      </x:c>
    </x:row>
    <x:row r="57" ht="24" customHeight="1">
      <x:c r="A57" s="15" t="n">
        <x:f>'設定'!N16</x:f>
        <x:v>46278</x:v>
      </x:c>
      <x:c r="B57" s="2" t="n">
        <x:f>13</x:f>
        <x:v>13</x:v>
      </x:c>
      <x:c r="C57" s="2" t="str">
        <x:f>"早"</x:f>
        <x:v>早</x:v>
      </x:c>
      <x:c r="D57" s="2" t="n">
        <x:f>IF(AND('設定'!$B$21="入力OK",'設定'!N16&lt;&gt;"",'設定'!N17&gt;=2),1,0)</x:f>
        <x:v>1</x:v>
      </x:c>
      <x:c r="E57" s="2" t="str">
        <x:f>IF(D57=0,"",IF(F57=0,"不足",INDEX('設定'!$B$7:$B$12,F57)))</x:f>
        <x:v>スタッフB</x:v>
      </x:c>
      <x:c r="F57" s="2" t="n">
        <x:f>IF(D57=0,"",IF(MIN(G57:L57)&gt;=1000000,0,MATCH(MIN(G57:L57),G57:L57,0)))</x:f>
        <x:v>2</x:v>
      </x:c>
      <x:c r="G57" s="2" t="n">
        <x:f>IF(OR($D57=0,INDEX('希望休'!$B$7:$AF$12,1,$B57)&lt;&gt;"可",COUNTIFS($A$7:A56,$A57,$F$7:F56,1)&gt;0,COUNTIF($F$7:F56,1)&gt;='設定'!C7,M55&gt;='設定'!D7),1000000,COUNTIF($F$7:F56,1)*100+MOD(0+13+'設定'!$F$3,6))</x:f>
        <x:v>1000000</x:v>
      </x:c>
      <x:c r="H57" s="2" t="n">
        <x:f>IF(OR($D57=0,INDEX('希望休'!$B$7:$AF$12,2,$B57)&lt;&gt;"可",COUNTIFS($A$7:A56,$A57,$F$7:F56,2)&gt;0,COUNTIF($F$7:F56,2)&gt;='設定'!C8,N55&gt;='設定'!D8),1000000,COUNTIF($F$7:F56,2)*100+MOD(1+13+'設定'!$F$3,6))</x:f>
        <x:v>802</x:v>
      </x:c>
      <x:c r="I57" s="2" t="n">
        <x:f>IF(OR($D57=0,INDEX('希望休'!$B$7:$AF$12,3,$B57)&lt;&gt;"可",COUNTIFS($A$7:A56,$A57,$F$7:F56,3)&gt;0,COUNTIF($F$7:F56,3)&gt;='設定'!C9,O55&gt;='設定'!D9),1000000,COUNTIF($F$7:F56,3)*100+MOD(2+13+'設定'!$F$3,6))</x:f>
        <x:v>803</x:v>
      </x:c>
      <x:c r="J57" s="2" t="n">
        <x:f>IF(OR($D57=0,INDEX('希望休'!$B$7:$AF$12,4,$B57)&lt;&gt;"可",COUNTIFS($A$7:A56,$A57,$F$7:F56,4)&gt;0,COUNTIF($F$7:F56,4)&gt;='設定'!C10,P55&gt;='設定'!D10),1000000,COUNTIF($F$7:F56,4)*100+MOD(3+13+'設定'!$F$3,6))</x:f>
        <x:v>804</x:v>
      </x:c>
      <x:c r="K57" s="2" t="n">
        <x:f>IF(OR($D57=0,INDEX('希望休'!$B$7:$AF$12,5,$B57)&lt;&gt;"可",COUNTIFS($A$7:A56,$A57,$F$7:F56,5)&gt;0,COUNTIF($F$7:F56,5)&gt;='設定'!C11,Q55&gt;='設定'!D11),1000000,COUNTIF($F$7:F56,5)*100+MOD(4+13+'設定'!$F$3,6))</x:f>
        <x:v>805</x:v>
      </x:c>
      <x:c r="L57" s="2" t="n">
        <x:f>IF(OR($D57=0,INDEX('希望休'!$B$7:$AF$12,6,$B57)&lt;&gt;"可",COUNTIFS($A$7:A56,$A57,$F$7:F56,6)&gt;0,COUNTIF($F$7:F56,6)&gt;='設定'!C12,R55&gt;='設定'!D12),1000000,COUNTIF($F$7:F56,6)*100+MOD(5+13+'設定'!$F$3,6))</x:f>
        <x:v>1000000</x:v>
      </x:c>
      <x:c r="M57" s="2" t="n">
        <x:f>IF($A57="",0,IF(COUNTIF($F$56:F57,1)&gt;0,M55+1,0))</x:f>
        <x:v>0</x:v>
      </x:c>
      <x:c r="N57" s="2" t="n">
        <x:f>IF($A57="",0,IF(COUNTIF($F$56:F57,2)&gt;0,N55+1,0))</x:f>
        <x:v>3</x:v>
      </x:c>
      <x:c r="O57" s="2" t="n">
        <x:f>IF($A57="",0,IF(COUNTIF($F$56:F57,3)&gt;0,O55+1,0))</x:f>
        <x:v>0</x:v>
      </x:c>
      <x:c r="P57" s="2" t="n">
        <x:f>IF($A57="",0,IF(COUNTIF($F$56:F57,4)&gt;0,P55+1,0))</x:f>
        <x:v>0</x:v>
      </x:c>
      <x:c r="Q57" s="2" t="n">
        <x:f>IF($A57="",0,IF(COUNTIF($F$56:F57,5)&gt;0,Q55+1,0))</x:f>
        <x:v>0</x:v>
      </x:c>
      <x:c r="R57" s="2" t="n">
        <x:f>IF($A57="",0,IF(COUNTIF($F$56:F57,6)&gt;0,R55+1,0))</x:f>
        <x:v>2</x:v>
      </x:c>
    </x:row>
    <x:row r="58" ht="24" customHeight="1">
      <x:c r="A58" s="15" t="n">
        <x:f>'設定'!N16</x:f>
        <x:v>46278</x:v>
      </x:c>
      <x:c r="B58" s="2" t="n">
        <x:f>13</x:f>
        <x:v>13</x:v>
      </x:c>
      <x:c r="C58" s="2" t="str">
        <x:f>"遅"</x:f>
        <x:v>遅</x:v>
      </x:c>
      <x:c r="D58" s="2" t="n">
        <x:f>IF(AND('設定'!$B$21="入力OK",'設定'!N16&lt;&gt;"",'設定'!N18&gt;=1),1,0)</x:f>
        <x:v>1</x:v>
      </x:c>
      <x:c r="E58" s="2" t="str">
        <x:f>IF(D58=0,"",IF(F58=0,"不足",INDEX('設定'!$B$7:$B$12,F58)))</x:f>
        <x:v>スタッフC</x:v>
      </x:c>
      <x:c r="F58" s="2" t="n">
        <x:f>IF(D58=0,"",IF(MIN(G58:L58)&gt;=1000000,0,MATCH(MIN(G58:L58),G58:L58,0)))</x:f>
        <x:v>3</x:v>
      </x:c>
      <x:c r="G58" s="2" t="n">
        <x:f>IF(OR($D58=0,INDEX('希望休'!$B$7:$AF$12,1,$B58)&lt;&gt;"可",COUNTIFS($A$7:A57,$A58,$F$7:F57,1)&gt;0,COUNTIF($F$7:F57,1)&gt;='設定'!C7,M55&gt;='設定'!D7),1000000,COUNTIF($F$7:F57,1)*100+MOD(0+13+'設定'!$F$3,6))</x:f>
        <x:v>1000000</x:v>
      </x:c>
      <x:c r="H58" s="2" t="n">
        <x:f>IF(OR($D58=0,INDEX('希望休'!$B$7:$AF$12,2,$B58)&lt;&gt;"可",COUNTIFS($A$7:A57,$A58,$F$7:F57,2)&gt;0,COUNTIF($F$7:F57,2)&gt;='設定'!C8,N55&gt;='設定'!D8),1000000,COUNTIF($F$7:F57,2)*100+MOD(1+13+'設定'!$F$3,6))</x:f>
        <x:v>1000000</x:v>
      </x:c>
      <x:c r="I58" s="2" t="n">
        <x:f>IF(OR($D58=0,INDEX('希望休'!$B$7:$AF$12,3,$B58)&lt;&gt;"可",COUNTIFS($A$7:A57,$A58,$F$7:F57,3)&gt;0,COUNTIF($F$7:F57,3)&gt;='設定'!C9,O55&gt;='設定'!D9),1000000,COUNTIF($F$7:F57,3)*100+MOD(2+13+'設定'!$F$3,6))</x:f>
        <x:v>803</x:v>
      </x:c>
      <x:c r="J58" s="2" t="n">
        <x:f>IF(OR($D58=0,INDEX('希望休'!$B$7:$AF$12,4,$B58)&lt;&gt;"可",COUNTIFS($A$7:A57,$A58,$F$7:F57,4)&gt;0,COUNTIF($F$7:F57,4)&gt;='設定'!C10,P55&gt;='設定'!D10),1000000,COUNTIF($F$7:F57,4)*100+MOD(3+13+'設定'!$F$3,6))</x:f>
        <x:v>804</x:v>
      </x:c>
      <x:c r="K58" s="2" t="n">
        <x:f>IF(OR($D58=0,INDEX('希望休'!$B$7:$AF$12,5,$B58)&lt;&gt;"可",COUNTIFS($A$7:A57,$A58,$F$7:F57,5)&gt;0,COUNTIF($F$7:F57,5)&gt;='設定'!C11,Q55&gt;='設定'!D11),1000000,COUNTIF($F$7:F57,5)*100+MOD(4+13+'設定'!$F$3,6))</x:f>
        <x:v>805</x:v>
      </x:c>
      <x:c r="L58" s="2" t="n">
        <x:f>IF(OR($D58=0,INDEX('希望休'!$B$7:$AF$12,6,$B58)&lt;&gt;"可",COUNTIFS($A$7:A57,$A58,$F$7:F57,6)&gt;0,COUNTIF($F$7:F57,6)&gt;='設定'!C12,R55&gt;='設定'!D12),1000000,COUNTIF($F$7:F57,6)*100+MOD(5+13+'設定'!$F$3,6))</x:f>
        <x:v>1000000</x:v>
      </x:c>
      <x:c r="M58" s="2" t="n">
        <x:f>IF($A58="",0,IF(COUNTIF($F$56:F58,1)&gt;0,M55+1,0))</x:f>
        <x:v>0</x:v>
      </x:c>
      <x:c r="N58" s="2" t="n">
        <x:f>IF($A58="",0,IF(COUNTIF($F$56:F58,2)&gt;0,N55+1,0))</x:f>
        <x:v>3</x:v>
      </x:c>
      <x:c r="O58" s="2" t="n">
        <x:f>IF($A58="",0,IF(COUNTIF($F$56:F58,3)&gt;0,O55+1,0))</x:f>
        <x:v>1</x:v>
      </x:c>
      <x:c r="P58" s="2" t="n">
        <x:f>IF($A58="",0,IF(COUNTIF($F$56:F58,4)&gt;0,P55+1,0))</x:f>
        <x:v>0</x:v>
      </x:c>
      <x:c r="Q58" s="2" t="n">
        <x:f>IF($A58="",0,IF(COUNTIF($F$56:F58,5)&gt;0,Q55+1,0))</x:f>
        <x:v>0</x:v>
      </x:c>
      <x:c r="R58" s="2" t="n">
        <x:f>IF($A58="",0,IF(COUNTIF($F$56:F58,6)&gt;0,R55+1,0))</x:f>
        <x:v>2</x:v>
      </x:c>
    </x:row>
    <x:row r="59" ht="24" customHeight="1">
      <x:c r="A59" s="15" t="n">
        <x:f>'設定'!N16</x:f>
        <x:v>46278</x:v>
      </x:c>
      <x:c r="B59" s="2" t="n">
        <x:f>13</x:f>
        <x:v>13</x:v>
      </x:c>
      <x:c r="C59" s="2" t="str">
        <x:f>"遅"</x:f>
        <x:v>遅</x:v>
      </x:c>
      <x:c r="D59" s="2" t="n">
        <x:f>IF(AND('設定'!$B$21="入力OK",'設定'!N16&lt;&gt;"",'設定'!N18&gt;=2),1,0)</x:f>
        <x:v>1</x:v>
      </x:c>
      <x:c r="E59" s="2" t="str">
        <x:f>IF(D59=0,"",IF(F59=0,"不足",INDEX('設定'!$B$7:$B$12,F59)))</x:f>
        <x:v>スタッフD</x:v>
      </x:c>
      <x:c r="F59" s="2" t="n">
        <x:f>IF(D59=0,"",IF(MIN(G59:L59)&gt;=1000000,0,MATCH(MIN(G59:L59),G59:L59,0)))</x:f>
        <x:v>4</x:v>
      </x:c>
      <x:c r="G59" s="2" t="n">
        <x:f>IF(OR($D59=0,INDEX('希望休'!$B$7:$AF$12,1,$B59)&lt;&gt;"可",COUNTIFS($A$7:A58,$A59,$F$7:F58,1)&gt;0,COUNTIF($F$7:F58,1)&gt;='設定'!C7,M55&gt;='設定'!D7),1000000,COUNTIF($F$7:F58,1)*100+MOD(0+13+'設定'!$F$3,6))</x:f>
        <x:v>1000000</x:v>
      </x:c>
      <x:c r="H59" s="2" t="n">
        <x:f>IF(OR($D59=0,INDEX('希望休'!$B$7:$AF$12,2,$B59)&lt;&gt;"可",COUNTIFS($A$7:A58,$A59,$F$7:F58,2)&gt;0,COUNTIF($F$7:F58,2)&gt;='設定'!C8,N55&gt;='設定'!D8),1000000,COUNTIF($F$7:F58,2)*100+MOD(1+13+'設定'!$F$3,6))</x:f>
        <x:v>1000000</x:v>
      </x:c>
      <x:c r="I59" s="2" t="n">
        <x:f>IF(OR($D59=0,INDEX('希望休'!$B$7:$AF$12,3,$B59)&lt;&gt;"可",COUNTIFS($A$7:A58,$A59,$F$7:F58,3)&gt;0,COUNTIF($F$7:F58,3)&gt;='設定'!C9,O55&gt;='設定'!D9),1000000,COUNTIF($F$7:F58,3)*100+MOD(2+13+'設定'!$F$3,6))</x:f>
        <x:v>1000000</x:v>
      </x:c>
      <x:c r="J59" s="2" t="n">
        <x:f>IF(OR($D59=0,INDEX('希望休'!$B$7:$AF$12,4,$B59)&lt;&gt;"可",COUNTIFS($A$7:A58,$A59,$F$7:F58,4)&gt;0,COUNTIF($F$7:F58,4)&gt;='設定'!C10,P55&gt;='設定'!D10),1000000,COUNTIF($F$7:F58,4)*100+MOD(3+13+'設定'!$F$3,6))</x:f>
        <x:v>804</x:v>
      </x:c>
      <x:c r="K59" s="2" t="n">
        <x:f>IF(OR($D59=0,INDEX('希望休'!$B$7:$AF$12,5,$B59)&lt;&gt;"可",COUNTIFS($A$7:A58,$A59,$F$7:F58,5)&gt;0,COUNTIF($F$7:F58,5)&gt;='設定'!C11,Q55&gt;='設定'!D11),1000000,COUNTIF($F$7:F58,5)*100+MOD(4+13+'設定'!$F$3,6))</x:f>
        <x:v>805</x:v>
      </x:c>
      <x:c r="L59" s="2" t="n">
        <x:f>IF(OR($D59=0,INDEX('希望休'!$B$7:$AF$12,6,$B59)&lt;&gt;"可",COUNTIFS($A$7:A58,$A59,$F$7:F58,6)&gt;0,COUNTIF($F$7:F58,6)&gt;='設定'!C12,R55&gt;='設定'!D12),1000000,COUNTIF($F$7:F58,6)*100+MOD(5+13+'設定'!$F$3,6))</x:f>
        <x:v>1000000</x:v>
      </x:c>
      <x:c r="M59" s="2" t="n">
        <x:f>IF($A59="",0,IF(COUNTIF($F$56:F59,1)&gt;0,M55+1,0))</x:f>
        <x:v>0</x:v>
      </x:c>
      <x:c r="N59" s="2" t="n">
        <x:f>IF($A59="",0,IF(COUNTIF($F$56:F59,2)&gt;0,N55+1,0))</x:f>
        <x:v>3</x:v>
      </x:c>
      <x:c r="O59" s="2" t="n">
        <x:f>IF($A59="",0,IF(COUNTIF($F$56:F59,3)&gt;0,O55+1,0))</x:f>
        <x:v>1</x:v>
      </x:c>
      <x:c r="P59" s="2" t="n">
        <x:f>IF($A59="",0,IF(COUNTIF($F$56:F59,4)&gt;0,P55+1,0))</x:f>
        <x:v>1</x:v>
      </x:c>
      <x:c r="Q59" s="2" t="n">
        <x:f>IF($A59="",0,IF(COUNTIF($F$56:F59,5)&gt;0,Q55+1,0))</x:f>
        <x:v>0</x:v>
      </x:c>
      <x:c r="R59" s="2" t="n">
        <x:f>IF($A59="",0,IF(COUNTIF($F$56:F59,6)&gt;0,R55+1,0))</x:f>
        <x:v>2</x:v>
      </x:c>
    </x:row>
    <x:row r="60" ht="24" customHeight="1">
      <x:c r="A60" s="15" t="n">
        <x:f>'設定'!O16</x:f>
        <x:v>46279</x:v>
      </x:c>
      <x:c r="B60" s="2" t="n">
        <x:f>14</x:f>
        <x:v>14</x:v>
      </x:c>
      <x:c r="C60" s="2" t="str">
        <x:f>"早"</x:f>
        <x:v>早</x:v>
      </x:c>
      <x:c r="D60" s="2" t="n">
        <x:f>IF(AND('設定'!$B$21="入力OK",'設定'!O16&lt;&gt;"",'設定'!O17&gt;=1),1,0)</x:f>
        <x:v>1</x:v>
      </x:c>
      <x:c r="E60" s="2" t="str">
        <x:f>IF(D60=0,"",IF(F60=0,"不足",INDEX('設定'!$B$7:$B$12,F60)))</x:f>
        <x:v>スタッフE</x:v>
      </x:c>
      <x:c r="F60" s="2" t="n">
        <x:f>IF(D60=0,"",IF(MIN(G60:L60)&gt;=1000000,0,MATCH(MIN(G60:L60),G60:L60,0)))</x:f>
        <x:v>5</x:v>
      </x:c>
      <x:c r="G60" s="2" t="n">
        <x:f>IF(OR($D60=0,INDEX('希望休'!$B$7:$AF$12,1,$B60)&lt;&gt;"可",COUNTIFS($A$7:A59,$A60,$F$7:F59,1)&gt;0,COUNTIF($F$7:F59,1)&gt;='設定'!C7,M59&gt;='設定'!D7),1000000,COUNTIF($F$7:F59,1)*100+MOD(0+14+'設定'!$F$3,6))</x:f>
        <x:v>802</x:v>
      </x:c>
      <x:c r="H60" s="2" t="n">
        <x:f>IF(OR($D60=0,INDEX('希望休'!$B$7:$AF$12,2,$B60)&lt;&gt;"可",COUNTIFS($A$7:A59,$A60,$F$7:F59,2)&gt;0,COUNTIF($F$7:F59,2)&gt;='設定'!C8,N59&gt;='設定'!D8),1000000,COUNTIF($F$7:F59,2)*100+MOD(1+14+'設定'!$F$3,6))</x:f>
        <x:v>1000000</x:v>
      </x:c>
      <x:c r="I60" s="2" t="n">
        <x:f>IF(OR($D60=0,INDEX('希望休'!$B$7:$AF$12,3,$B60)&lt;&gt;"可",COUNTIFS($A$7:A59,$A60,$F$7:F59,3)&gt;0,COUNTIF($F$7:F59,3)&gt;='設定'!C9,O59&gt;='設定'!D9),1000000,COUNTIF($F$7:F59,3)*100+MOD(2+14+'設定'!$F$3,6))</x:f>
        <x:v>904</x:v>
      </x:c>
      <x:c r="J60" s="2" t="n">
        <x:f>IF(OR($D60=0,INDEX('希望休'!$B$7:$AF$12,4,$B60)&lt;&gt;"可",COUNTIFS($A$7:A59,$A60,$F$7:F59,4)&gt;0,COUNTIF($F$7:F59,4)&gt;='設定'!C10,P59&gt;='設定'!D10),1000000,COUNTIF($F$7:F59,4)*100+MOD(3+14+'設定'!$F$3,6))</x:f>
        <x:v>905</x:v>
      </x:c>
      <x:c r="K60" s="2" t="n">
        <x:f>IF(OR($D60=0,INDEX('希望休'!$B$7:$AF$12,5,$B60)&lt;&gt;"可",COUNTIFS($A$7:A59,$A60,$F$7:F59,5)&gt;0,COUNTIF($F$7:F59,5)&gt;='設定'!C11,Q59&gt;='設定'!D11),1000000,COUNTIF($F$7:F59,5)*100+MOD(4+14+'設定'!$F$3,6))</x:f>
        <x:v>800</x:v>
      </x:c>
      <x:c r="L60" s="2" t="n">
        <x:f>IF(OR($D60=0,INDEX('希望休'!$B$7:$AF$12,6,$B60)&lt;&gt;"可",COUNTIFS($A$7:A59,$A60,$F$7:F59,6)&gt;0,COUNTIF($F$7:F59,6)&gt;='設定'!C12,R59&gt;='設定'!D12),1000000,COUNTIF($F$7:F59,6)*100+MOD(5+14+'設定'!$F$3,6))</x:f>
        <x:v>901</x:v>
      </x:c>
      <x:c r="M60" s="2" t="n">
        <x:f>IF($A60="",0,IF(COUNTIF($F$60:F60,1)&gt;0,M59+1,0))</x:f>
        <x:v>0</x:v>
      </x:c>
      <x:c r="N60" s="2" t="n">
        <x:f>IF($A60="",0,IF(COUNTIF($F$60:F60,2)&gt;0,N59+1,0))</x:f>
        <x:v>0</x:v>
      </x:c>
      <x:c r="O60" s="2" t="n">
        <x:f>IF($A60="",0,IF(COUNTIF($F$60:F60,3)&gt;0,O59+1,0))</x:f>
        <x:v>0</x:v>
      </x:c>
      <x:c r="P60" s="2" t="n">
        <x:f>IF($A60="",0,IF(COUNTIF($F$60:F60,4)&gt;0,P59+1,0))</x:f>
        <x:v>0</x:v>
      </x:c>
      <x:c r="Q60" s="2" t="n">
        <x:f>IF($A60="",0,IF(COUNTIF($F$60:F60,5)&gt;0,Q59+1,0))</x:f>
        <x:v>1</x:v>
      </x:c>
      <x:c r="R60" s="2" t="n">
        <x:f>IF($A60="",0,IF(COUNTIF($F$60:F60,6)&gt;0,R59+1,0))</x:f>
        <x:v>0</x:v>
      </x:c>
    </x:row>
    <x:row r="61" ht="24" customHeight="1">
      <x:c r="A61" s="15" t="n">
        <x:f>'設定'!O16</x:f>
        <x:v>46279</x:v>
      </x:c>
      <x:c r="B61" s="2" t="n">
        <x:f>14</x:f>
        <x:v>14</x:v>
      </x:c>
      <x:c r="C61" s="2" t="str">
        <x:f>"早"</x:f>
        <x:v>早</x:v>
      </x:c>
      <x:c r="D61" s="2" t="n">
        <x:f>IF(AND('設定'!$B$21="入力OK",'設定'!O16&lt;&gt;"",'設定'!O17&gt;=2),1,0)</x:f>
        <x:v>1</x:v>
      </x:c>
      <x:c r="E61" s="2" t="str">
        <x:f>IF(D61=0,"",IF(F61=0,"不足",INDEX('設定'!$B$7:$B$12,F61)))</x:f>
        <x:v>スタッフA</x:v>
      </x:c>
      <x:c r="F61" s="2" t="n">
        <x:f>IF(D61=0,"",IF(MIN(G61:L61)&gt;=1000000,0,MATCH(MIN(G61:L61),G61:L61,0)))</x:f>
        <x:v>1</x:v>
      </x:c>
      <x:c r="G61" s="2" t="n">
        <x:f>IF(OR($D61=0,INDEX('希望休'!$B$7:$AF$12,1,$B61)&lt;&gt;"可",COUNTIFS($A$7:A60,$A61,$F$7:F60,1)&gt;0,COUNTIF($F$7:F60,1)&gt;='設定'!C7,M59&gt;='設定'!D7),1000000,COUNTIF($F$7:F60,1)*100+MOD(0+14+'設定'!$F$3,6))</x:f>
        <x:v>802</x:v>
      </x:c>
      <x:c r="H61" s="2" t="n">
        <x:f>IF(OR($D61=0,INDEX('希望休'!$B$7:$AF$12,2,$B61)&lt;&gt;"可",COUNTIFS($A$7:A60,$A61,$F$7:F60,2)&gt;0,COUNTIF($F$7:F60,2)&gt;='設定'!C8,N59&gt;='設定'!D8),1000000,COUNTIF($F$7:F60,2)*100+MOD(1+14+'設定'!$F$3,6))</x:f>
        <x:v>1000000</x:v>
      </x:c>
      <x:c r="I61" s="2" t="n">
        <x:f>IF(OR($D61=0,INDEX('希望休'!$B$7:$AF$12,3,$B61)&lt;&gt;"可",COUNTIFS($A$7:A60,$A61,$F$7:F60,3)&gt;0,COUNTIF($F$7:F60,3)&gt;='設定'!C9,O59&gt;='設定'!D9),1000000,COUNTIF($F$7:F60,3)*100+MOD(2+14+'設定'!$F$3,6))</x:f>
        <x:v>904</x:v>
      </x:c>
      <x:c r="J61" s="2" t="n">
        <x:f>IF(OR($D61=0,INDEX('希望休'!$B$7:$AF$12,4,$B61)&lt;&gt;"可",COUNTIFS($A$7:A60,$A61,$F$7:F60,4)&gt;0,COUNTIF($F$7:F60,4)&gt;='設定'!C10,P59&gt;='設定'!D10),1000000,COUNTIF($F$7:F60,4)*100+MOD(3+14+'設定'!$F$3,6))</x:f>
        <x:v>905</x:v>
      </x:c>
      <x:c r="K61" s="2" t="n">
        <x:f>IF(OR($D61=0,INDEX('希望休'!$B$7:$AF$12,5,$B61)&lt;&gt;"可",COUNTIFS($A$7:A60,$A61,$F$7:F60,5)&gt;0,COUNTIF($F$7:F60,5)&gt;='設定'!C11,Q59&gt;='設定'!D11),1000000,COUNTIF($F$7:F60,5)*100+MOD(4+14+'設定'!$F$3,6))</x:f>
        <x:v>1000000</x:v>
      </x:c>
      <x:c r="L61" s="2" t="n">
        <x:f>IF(OR($D61=0,INDEX('希望休'!$B$7:$AF$12,6,$B61)&lt;&gt;"可",COUNTIFS($A$7:A60,$A61,$F$7:F60,6)&gt;0,COUNTIF($F$7:F60,6)&gt;='設定'!C12,R59&gt;='設定'!D12),1000000,COUNTIF($F$7:F60,6)*100+MOD(5+14+'設定'!$F$3,6))</x:f>
        <x:v>901</x:v>
      </x:c>
      <x:c r="M61" s="2" t="n">
        <x:f>IF($A61="",0,IF(COUNTIF($F$60:F61,1)&gt;0,M59+1,0))</x:f>
        <x:v>1</x:v>
      </x:c>
      <x:c r="N61" s="2" t="n">
        <x:f>IF($A61="",0,IF(COUNTIF($F$60:F61,2)&gt;0,N59+1,0))</x:f>
        <x:v>0</x:v>
      </x:c>
      <x:c r="O61" s="2" t="n">
        <x:f>IF($A61="",0,IF(COUNTIF($F$60:F61,3)&gt;0,O59+1,0))</x:f>
        <x:v>0</x:v>
      </x:c>
      <x:c r="P61" s="2" t="n">
        <x:f>IF($A61="",0,IF(COUNTIF($F$60:F61,4)&gt;0,P59+1,0))</x:f>
        <x:v>0</x:v>
      </x:c>
      <x:c r="Q61" s="2" t="n">
        <x:f>IF($A61="",0,IF(COUNTIF($F$60:F61,5)&gt;0,Q59+1,0))</x:f>
        <x:v>1</x:v>
      </x:c>
      <x:c r="R61" s="2" t="n">
        <x:f>IF($A61="",0,IF(COUNTIF($F$60:F61,6)&gt;0,R59+1,0))</x:f>
        <x:v>0</x:v>
      </x:c>
    </x:row>
    <x:row r="62" ht="24" customHeight="1">
      <x:c r="A62" s="15" t="n">
        <x:f>'設定'!O16</x:f>
        <x:v>46279</x:v>
      </x:c>
      <x:c r="B62" s="2" t="n">
        <x:f>14</x:f>
        <x:v>14</x:v>
      </x:c>
      <x:c r="C62" s="2" t="str">
        <x:f>"遅"</x:f>
        <x:v>遅</x:v>
      </x:c>
      <x:c r="D62" s="2" t="n">
        <x:f>IF(AND('設定'!$B$21="入力OK",'設定'!O16&lt;&gt;"",'設定'!O18&gt;=1),1,0)</x:f>
        <x:v>1</x:v>
      </x:c>
      <x:c r="E62" s="2" t="str">
        <x:f>IF(D62=0,"",IF(F62=0,"不足",INDEX('設定'!$B$7:$B$12,F62)))</x:f>
        <x:v>スタッフF</x:v>
      </x:c>
      <x:c r="F62" s="2" t="n">
        <x:f>IF(D62=0,"",IF(MIN(G62:L62)&gt;=1000000,0,MATCH(MIN(G62:L62),G62:L62,0)))</x:f>
        <x:v>6</x:v>
      </x:c>
      <x:c r="G62" s="2" t="n">
        <x:f>IF(OR($D62=0,INDEX('希望休'!$B$7:$AF$12,1,$B62)&lt;&gt;"可",COUNTIFS($A$7:A61,$A62,$F$7:F61,1)&gt;0,COUNTIF($F$7:F61,1)&gt;='設定'!C7,M59&gt;='設定'!D7),1000000,COUNTIF($F$7:F61,1)*100+MOD(0+14+'設定'!$F$3,6))</x:f>
        <x:v>1000000</x:v>
      </x:c>
      <x:c r="H62" s="2" t="n">
        <x:f>IF(OR($D62=0,INDEX('希望休'!$B$7:$AF$12,2,$B62)&lt;&gt;"可",COUNTIFS($A$7:A61,$A62,$F$7:F61,2)&gt;0,COUNTIF($F$7:F61,2)&gt;='設定'!C8,N59&gt;='設定'!D8),1000000,COUNTIF($F$7:F61,2)*100+MOD(1+14+'設定'!$F$3,6))</x:f>
        <x:v>1000000</x:v>
      </x:c>
      <x:c r="I62" s="2" t="n">
        <x:f>IF(OR($D62=0,INDEX('希望休'!$B$7:$AF$12,3,$B62)&lt;&gt;"可",COUNTIFS($A$7:A61,$A62,$F$7:F61,3)&gt;0,COUNTIF($F$7:F61,3)&gt;='設定'!C9,O59&gt;='設定'!D9),1000000,COUNTIF($F$7:F61,3)*100+MOD(2+14+'設定'!$F$3,6))</x:f>
        <x:v>904</x:v>
      </x:c>
      <x:c r="J62" s="2" t="n">
        <x:f>IF(OR($D62=0,INDEX('希望休'!$B$7:$AF$12,4,$B62)&lt;&gt;"可",COUNTIFS($A$7:A61,$A62,$F$7:F61,4)&gt;0,COUNTIF($F$7:F61,4)&gt;='設定'!C10,P59&gt;='設定'!D10),1000000,COUNTIF($F$7:F61,4)*100+MOD(3+14+'設定'!$F$3,6))</x:f>
        <x:v>905</x:v>
      </x:c>
      <x:c r="K62" s="2" t="n">
        <x:f>IF(OR($D62=0,INDEX('希望休'!$B$7:$AF$12,5,$B62)&lt;&gt;"可",COUNTIFS($A$7:A61,$A62,$F$7:F61,5)&gt;0,COUNTIF($F$7:F61,5)&gt;='設定'!C11,Q59&gt;='設定'!D11),1000000,COUNTIF($F$7:F61,5)*100+MOD(4+14+'設定'!$F$3,6))</x:f>
        <x:v>1000000</x:v>
      </x:c>
      <x:c r="L62" s="2" t="n">
        <x:f>IF(OR($D62=0,INDEX('希望休'!$B$7:$AF$12,6,$B62)&lt;&gt;"可",COUNTIFS($A$7:A61,$A62,$F$7:F61,6)&gt;0,COUNTIF($F$7:F61,6)&gt;='設定'!C12,R59&gt;='設定'!D12),1000000,COUNTIF($F$7:F61,6)*100+MOD(5+14+'設定'!$F$3,6))</x:f>
        <x:v>901</x:v>
      </x:c>
      <x:c r="M62" s="2" t="n">
        <x:f>IF($A62="",0,IF(COUNTIF($F$60:F62,1)&gt;0,M59+1,0))</x:f>
        <x:v>1</x:v>
      </x:c>
      <x:c r="N62" s="2" t="n">
        <x:f>IF($A62="",0,IF(COUNTIF($F$60:F62,2)&gt;0,N59+1,0))</x:f>
        <x:v>0</x:v>
      </x:c>
      <x:c r="O62" s="2" t="n">
        <x:f>IF($A62="",0,IF(COUNTIF($F$60:F62,3)&gt;0,O59+1,0))</x:f>
        <x:v>0</x:v>
      </x:c>
      <x:c r="P62" s="2" t="n">
        <x:f>IF($A62="",0,IF(COUNTIF($F$60:F62,4)&gt;0,P59+1,0))</x:f>
        <x:v>0</x:v>
      </x:c>
      <x:c r="Q62" s="2" t="n">
        <x:f>IF($A62="",0,IF(COUNTIF($F$60:F62,5)&gt;0,Q59+1,0))</x:f>
        <x:v>1</x:v>
      </x:c>
      <x:c r="R62" s="2" t="n">
        <x:f>IF($A62="",0,IF(COUNTIF($F$60:F62,6)&gt;0,R59+1,0))</x:f>
        <x:v>3</x:v>
      </x:c>
    </x:row>
    <x:row r="63" ht="24" customHeight="1">
      <x:c r="A63" s="15" t="n">
        <x:f>'設定'!O16</x:f>
        <x:v>46279</x:v>
      </x:c>
      <x:c r="B63" s="2" t="n">
        <x:f>14</x:f>
        <x:v>14</x:v>
      </x:c>
      <x:c r="C63" s="2" t="str">
        <x:f>"遅"</x:f>
        <x:v>遅</x:v>
      </x:c>
      <x:c r="D63" s="2" t="n">
        <x:f>IF(AND('設定'!$B$21="入力OK",'設定'!O16&lt;&gt;"",'設定'!O18&gt;=2),1,0)</x:f>
        <x:v>1</x:v>
      </x:c>
      <x:c r="E63" s="2" t="str">
        <x:f>IF(D63=0,"",IF(F63=0,"不足",INDEX('設定'!$B$7:$B$12,F63)))</x:f>
        <x:v>スタッフC</x:v>
      </x:c>
      <x:c r="F63" s="2" t="n">
        <x:f>IF(D63=0,"",IF(MIN(G63:L63)&gt;=1000000,0,MATCH(MIN(G63:L63),G63:L63,0)))</x:f>
        <x:v>3</x:v>
      </x:c>
      <x:c r="G63" s="2" t="n">
        <x:f>IF(OR($D63=0,INDEX('希望休'!$B$7:$AF$12,1,$B63)&lt;&gt;"可",COUNTIFS($A$7:A62,$A63,$F$7:F62,1)&gt;0,COUNTIF($F$7:F62,1)&gt;='設定'!C7,M59&gt;='設定'!D7),1000000,COUNTIF($F$7:F62,1)*100+MOD(0+14+'設定'!$F$3,6))</x:f>
        <x:v>1000000</x:v>
      </x:c>
      <x:c r="H63" s="2" t="n">
        <x:f>IF(OR($D63=0,INDEX('希望休'!$B$7:$AF$12,2,$B63)&lt;&gt;"可",COUNTIFS($A$7:A62,$A63,$F$7:F62,2)&gt;0,COUNTIF($F$7:F62,2)&gt;='設定'!C8,N59&gt;='設定'!D8),1000000,COUNTIF($F$7:F62,2)*100+MOD(1+14+'設定'!$F$3,6))</x:f>
        <x:v>1000000</x:v>
      </x:c>
      <x:c r="I63" s="2" t="n">
        <x:f>IF(OR($D63=0,INDEX('希望休'!$B$7:$AF$12,3,$B63)&lt;&gt;"可",COUNTIFS($A$7:A62,$A63,$F$7:F62,3)&gt;0,COUNTIF($F$7:F62,3)&gt;='設定'!C9,O59&gt;='設定'!D9),1000000,COUNTIF($F$7:F62,3)*100+MOD(2+14+'設定'!$F$3,6))</x:f>
        <x:v>904</x:v>
      </x:c>
      <x:c r="J63" s="2" t="n">
        <x:f>IF(OR($D63=0,INDEX('希望休'!$B$7:$AF$12,4,$B63)&lt;&gt;"可",COUNTIFS($A$7:A62,$A63,$F$7:F62,4)&gt;0,COUNTIF($F$7:F62,4)&gt;='設定'!C10,P59&gt;='設定'!D10),1000000,COUNTIF($F$7:F62,4)*100+MOD(3+14+'設定'!$F$3,6))</x:f>
        <x:v>905</x:v>
      </x:c>
      <x:c r="K63" s="2" t="n">
        <x:f>IF(OR($D63=0,INDEX('希望休'!$B$7:$AF$12,5,$B63)&lt;&gt;"可",COUNTIFS($A$7:A62,$A63,$F$7:F62,5)&gt;0,COUNTIF($F$7:F62,5)&gt;='設定'!C11,Q59&gt;='設定'!D11),1000000,COUNTIF($F$7:F62,5)*100+MOD(4+14+'設定'!$F$3,6))</x:f>
        <x:v>1000000</x:v>
      </x:c>
      <x:c r="L63" s="2" t="n">
        <x:f>IF(OR($D63=0,INDEX('希望休'!$B$7:$AF$12,6,$B63)&lt;&gt;"可",COUNTIFS($A$7:A62,$A63,$F$7:F62,6)&gt;0,COUNTIF($F$7:F62,6)&gt;='設定'!C12,R59&gt;='設定'!D12),1000000,COUNTIF($F$7:F62,6)*100+MOD(5+14+'設定'!$F$3,6))</x:f>
        <x:v>1000000</x:v>
      </x:c>
      <x:c r="M63" s="2" t="n">
        <x:f>IF($A63="",0,IF(COUNTIF($F$60:F63,1)&gt;0,M59+1,0))</x:f>
        <x:v>1</x:v>
      </x:c>
      <x:c r="N63" s="2" t="n">
        <x:f>IF($A63="",0,IF(COUNTIF($F$60:F63,2)&gt;0,N59+1,0))</x:f>
        <x:v>0</x:v>
      </x:c>
      <x:c r="O63" s="2" t="n">
        <x:f>IF($A63="",0,IF(COUNTIF($F$60:F63,3)&gt;0,O59+1,0))</x:f>
        <x:v>2</x:v>
      </x:c>
      <x:c r="P63" s="2" t="n">
        <x:f>IF($A63="",0,IF(COUNTIF($F$60:F63,4)&gt;0,P59+1,0))</x:f>
        <x:v>0</x:v>
      </x:c>
      <x:c r="Q63" s="2" t="n">
        <x:f>IF($A63="",0,IF(COUNTIF($F$60:F63,5)&gt;0,Q59+1,0))</x:f>
        <x:v>1</x:v>
      </x:c>
      <x:c r="R63" s="2" t="n">
        <x:f>IF($A63="",0,IF(COUNTIF($F$60:F63,6)&gt;0,R59+1,0))</x:f>
        <x:v>3</x:v>
      </x:c>
    </x:row>
    <x:row r="64" ht="24" customHeight="1">
      <x:c r="A64" s="15" t="n">
        <x:f>'設定'!P16</x:f>
        <x:v>46280</x:v>
      </x:c>
      <x:c r="B64" s="2" t="n">
        <x:f>15</x:f>
        <x:v>15</x:v>
      </x:c>
      <x:c r="C64" s="2" t="str">
        <x:f>"早"</x:f>
        <x:v>早</x:v>
      </x:c>
      <x:c r="D64" s="2" t="n">
        <x:f>IF(AND('設定'!$B$21="入力OK",'設定'!P16&lt;&gt;"",'設定'!P17&gt;=1),1,0)</x:f>
        <x:v>1</x:v>
      </x:c>
      <x:c r="E64" s="2" t="str">
        <x:f>IF(D64=0,"",IF(F64=0,"不足",INDEX('設定'!$B$7:$B$12,F64)))</x:f>
        <x:v>スタッフD</x:v>
      </x:c>
      <x:c r="F64" s="2" t="n">
        <x:f>IF(D64=0,"",IF(MIN(G64:L64)&gt;=1000000,0,MATCH(MIN(G64:L64),G64:L64,0)))</x:f>
        <x:v>4</x:v>
      </x:c>
      <x:c r="G64" s="2" t="n">
        <x:f>IF(OR($D64=0,INDEX('希望休'!$B$7:$AF$12,1,$B64)&lt;&gt;"可",COUNTIFS($A$7:A63,$A64,$F$7:F63,1)&gt;0,COUNTIF($F$7:F63,1)&gt;='設定'!C7,M63&gt;='設定'!D7),1000000,COUNTIF($F$7:F63,1)*100+MOD(0+15+'設定'!$F$3,6))</x:f>
        <x:v>903</x:v>
      </x:c>
      <x:c r="H64" s="2" t="n">
        <x:f>IF(OR($D64=0,INDEX('希望休'!$B$7:$AF$12,2,$B64)&lt;&gt;"可",COUNTIFS($A$7:A63,$A64,$F$7:F63,2)&gt;0,COUNTIF($F$7:F63,2)&gt;='設定'!C8,N63&gt;='設定'!D8),1000000,COUNTIF($F$7:F63,2)*100+MOD(1+15+'設定'!$F$3,6))</x:f>
        <x:v>904</x:v>
      </x:c>
      <x:c r="I64" s="2" t="n">
        <x:f>IF(OR($D64=0,INDEX('希望休'!$B$7:$AF$12,3,$B64)&lt;&gt;"可",COUNTIFS($A$7:A63,$A64,$F$7:F63,3)&gt;0,COUNTIF($F$7:F63,3)&gt;='設定'!C9,O63&gt;='設定'!D9),1000000,COUNTIF($F$7:F63,3)*100+MOD(2+15+'設定'!$F$3,6))</x:f>
        <x:v>1000000</x:v>
      </x:c>
      <x:c r="J64" s="2" t="n">
        <x:f>IF(OR($D64=0,INDEX('希望休'!$B$7:$AF$12,4,$B64)&lt;&gt;"可",COUNTIFS($A$7:A63,$A64,$F$7:F63,4)&gt;0,COUNTIF($F$7:F63,4)&gt;='設定'!C10,P63&gt;='設定'!D10),1000000,COUNTIF($F$7:F63,4)*100+MOD(3+15+'設定'!$F$3,6))</x:f>
        <x:v>900</x:v>
      </x:c>
      <x:c r="K64" s="2" t="n">
        <x:f>IF(OR($D64=0,INDEX('希望休'!$B$7:$AF$12,5,$B64)&lt;&gt;"可",COUNTIFS($A$7:A63,$A64,$F$7:F63,5)&gt;0,COUNTIF($F$7:F63,5)&gt;='設定'!C11,Q63&gt;='設定'!D11),1000000,COUNTIF($F$7:F63,5)*100+MOD(4+15+'設定'!$F$3,6))</x:f>
        <x:v>901</x:v>
      </x:c>
      <x:c r="L64" s="2" t="n">
        <x:f>IF(OR($D64=0,INDEX('希望休'!$B$7:$AF$12,6,$B64)&lt;&gt;"可",COUNTIFS($A$7:A63,$A64,$F$7:F63,6)&gt;0,COUNTIF($F$7:F63,6)&gt;='設定'!C12,R63&gt;='設定'!D12),1000000,COUNTIF($F$7:F63,6)*100+MOD(5+15+'設定'!$F$3,6))</x:f>
        <x:v>1002</x:v>
      </x:c>
      <x:c r="M64" s="2" t="n">
        <x:f>IF($A64="",0,IF(COUNTIF($F$64:F64,1)&gt;0,M63+1,0))</x:f>
        <x:v>0</x:v>
      </x:c>
      <x:c r="N64" s="2" t="n">
        <x:f>IF($A64="",0,IF(COUNTIF($F$64:F64,2)&gt;0,N63+1,0))</x:f>
        <x:v>0</x:v>
      </x:c>
      <x:c r="O64" s="2" t="n">
        <x:f>IF($A64="",0,IF(COUNTIF($F$64:F64,3)&gt;0,O63+1,0))</x:f>
        <x:v>0</x:v>
      </x:c>
      <x:c r="P64" s="2" t="n">
        <x:f>IF($A64="",0,IF(COUNTIF($F$64:F64,4)&gt;0,P63+1,0))</x:f>
        <x:v>1</x:v>
      </x:c>
      <x:c r="Q64" s="2" t="n">
        <x:f>IF($A64="",0,IF(COUNTIF($F$64:F64,5)&gt;0,Q63+1,0))</x:f>
        <x:v>0</x:v>
      </x:c>
      <x:c r="R64" s="2" t="n">
        <x:f>IF($A64="",0,IF(COUNTIF($F$64:F64,6)&gt;0,R63+1,0))</x:f>
        <x:v>0</x:v>
      </x:c>
    </x:row>
    <x:row r="65" ht="24" customHeight="1">
      <x:c r="A65" s="15" t="n">
        <x:f>'設定'!P16</x:f>
        <x:v>46280</x:v>
      </x:c>
      <x:c r="B65" s="2" t="n">
        <x:f>15</x:f>
        <x:v>15</x:v>
      </x:c>
      <x:c r="C65" s="2" t="str">
        <x:f>"早"</x:f>
        <x:v>早</x:v>
      </x:c>
      <x:c r="D65" s="2" t="n">
        <x:f>IF(AND('設定'!$B$21="入力OK",'設定'!P16&lt;&gt;"",'設定'!P17&gt;=2),1,0)</x:f>
        <x:v>1</x:v>
      </x:c>
      <x:c r="E65" s="2" t="str">
        <x:f>IF(D65=0,"",IF(F65=0,"不足",INDEX('設定'!$B$7:$B$12,F65)))</x:f>
        <x:v>スタッフE</x:v>
      </x:c>
      <x:c r="F65" s="2" t="n">
        <x:f>IF(D65=0,"",IF(MIN(G65:L65)&gt;=1000000,0,MATCH(MIN(G65:L65),G65:L65,0)))</x:f>
        <x:v>5</x:v>
      </x:c>
      <x:c r="G65" s="2" t="n">
        <x:f>IF(OR($D65=0,INDEX('希望休'!$B$7:$AF$12,1,$B65)&lt;&gt;"可",COUNTIFS($A$7:A64,$A65,$F$7:F64,1)&gt;0,COUNTIF($F$7:F64,1)&gt;='設定'!C7,M63&gt;='設定'!D7),1000000,COUNTIF($F$7:F64,1)*100+MOD(0+15+'設定'!$F$3,6))</x:f>
        <x:v>903</x:v>
      </x:c>
      <x:c r="H65" s="2" t="n">
        <x:f>IF(OR($D65=0,INDEX('希望休'!$B$7:$AF$12,2,$B65)&lt;&gt;"可",COUNTIFS($A$7:A64,$A65,$F$7:F64,2)&gt;0,COUNTIF($F$7:F64,2)&gt;='設定'!C8,N63&gt;='設定'!D8),1000000,COUNTIF($F$7:F64,2)*100+MOD(1+15+'設定'!$F$3,6))</x:f>
        <x:v>904</x:v>
      </x:c>
      <x:c r="I65" s="2" t="n">
        <x:f>IF(OR($D65=0,INDEX('希望休'!$B$7:$AF$12,3,$B65)&lt;&gt;"可",COUNTIFS($A$7:A64,$A65,$F$7:F64,3)&gt;0,COUNTIF($F$7:F64,3)&gt;='設定'!C9,O63&gt;='設定'!D9),1000000,COUNTIF($F$7:F64,3)*100+MOD(2+15+'設定'!$F$3,6))</x:f>
        <x:v>1000000</x:v>
      </x:c>
      <x:c r="J65" s="2" t="n">
        <x:f>IF(OR($D65=0,INDEX('希望休'!$B$7:$AF$12,4,$B65)&lt;&gt;"可",COUNTIFS($A$7:A64,$A65,$F$7:F64,4)&gt;0,COUNTIF($F$7:F64,4)&gt;='設定'!C10,P63&gt;='設定'!D10),1000000,COUNTIF($F$7:F64,4)*100+MOD(3+15+'設定'!$F$3,6))</x:f>
        <x:v>1000000</x:v>
      </x:c>
      <x:c r="K65" s="2" t="n">
        <x:f>IF(OR($D65=0,INDEX('希望休'!$B$7:$AF$12,5,$B65)&lt;&gt;"可",COUNTIFS($A$7:A64,$A65,$F$7:F64,5)&gt;0,COUNTIF($F$7:F64,5)&gt;='設定'!C11,Q63&gt;='設定'!D11),1000000,COUNTIF($F$7:F64,5)*100+MOD(4+15+'設定'!$F$3,6))</x:f>
        <x:v>901</x:v>
      </x:c>
      <x:c r="L65" s="2" t="n">
        <x:f>IF(OR($D65=0,INDEX('希望休'!$B$7:$AF$12,6,$B65)&lt;&gt;"可",COUNTIFS($A$7:A64,$A65,$F$7:F64,6)&gt;0,COUNTIF($F$7:F64,6)&gt;='設定'!C12,R63&gt;='設定'!D12),1000000,COUNTIF($F$7:F64,6)*100+MOD(5+15+'設定'!$F$3,6))</x:f>
        <x:v>1002</x:v>
      </x:c>
      <x:c r="M65" s="2" t="n">
        <x:f>IF($A65="",0,IF(COUNTIF($F$64:F65,1)&gt;0,M63+1,0))</x:f>
        <x:v>0</x:v>
      </x:c>
      <x:c r="N65" s="2" t="n">
        <x:f>IF($A65="",0,IF(COUNTIF($F$64:F65,2)&gt;0,N63+1,0))</x:f>
        <x:v>0</x:v>
      </x:c>
      <x:c r="O65" s="2" t="n">
        <x:f>IF($A65="",0,IF(COUNTIF($F$64:F65,3)&gt;0,O63+1,0))</x:f>
        <x:v>0</x:v>
      </x:c>
      <x:c r="P65" s="2" t="n">
        <x:f>IF($A65="",0,IF(COUNTIF($F$64:F65,4)&gt;0,P63+1,0))</x:f>
        <x:v>1</x:v>
      </x:c>
      <x:c r="Q65" s="2" t="n">
        <x:f>IF($A65="",0,IF(COUNTIF($F$64:F65,5)&gt;0,Q63+1,0))</x:f>
        <x:v>2</x:v>
      </x:c>
      <x:c r="R65" s="2" t="n">
        <x:f>IF($A65="",0,IF(COUNTIF($F$64:F65,6)&gt;0,R63+1,0))</x:f>
        <x:v>0</x:v>
      </x:c>
    </x:row>
    <x:row r="66" ht="24" customHeight="1">
      <x:c r="A66" s="15" t="n">
        <x:f>'設定'!P16</x:f>
        <x:v>46280</x:v>
      </x:c>
      <x:c r="B66" s="2" t="n">
        <x:f>15</x:f>
        <x:v>15</x:v>
      </x:c>
      <x:c r="C66" s="2" t="str">
        <x:f>"遅"</x:f>
        <x:v>遅</x:v>
      </x:c>
      <x:c r="D66" s="2" t="n">
        <x:f>IF(AND('設定'!$B$21="入力OK",'設定'!P16&lt;&gt;"",'設定'!P18&gt;=1),1,0)</x:f>
        <x:v>1</x:v>
      </x:c>
      <x:c r="E66" s="2" t="str">
        <x:f>IF(D66=0,"",IF(F66=0,"不足",INDEX('設定'!$B$7:$B$12,F66)))</x:f>
        <x:v>スタッフA</x:v>
      </x:c>
      <x:c r="F66" s="2" t="n">
        <x:f>IF(D66=0,"",IF(MIN(G66:L66)&gt;=1000000,0,MATCH(MIN(G66:L66),G66:L66,0)))</x:f>
        <x:v>1</x:v>
      </x:c>
      <x:c r="G66" s="2" t="n">
        <x:f>IF(OR($D66=0,INDEX('希望休'!$B$7:$AF$12,1,$B66)&lt;&gt;"可",COUNTIFS($A$7:A65,$A66,$F$7:F65,1)&gt;0,COUNTIF($F$7:F65,1)&gt;='設定'!C7,M63&gt;='設定'!D7),1000000,COUNTIF($F$7:F65,1)*100+MOD(0+15+'設定'!$F$3,6))</x:f>
        <x:v>903</x:v>
      </x:c>
      <x:c r="H66" s="2" t="n">
        <x:f>IF(OR($D66=0,INDEX('希望休'!$B$7:$AF$12,2,$B66)&lt;&gt;"可",COUNTIFS($A$7:A65,$A66,$F$7:F65,2)&gt;0,COUNTIF($F$7:F65,2)&gt;='設定'!C8,N63&gt;='設定'!D8),1000000,COUNTIF($F$7:F65,2)*100+MOD(1+15+'設定'!$F$3,6))</x:f>
        <x:v>904</x:v>
      </x:c>
      <x:c r="I66" s="2" t="n">
        <x:f>IF(OR($D66=0,INDEX('希望休'!$B$7:$AF$12,3,$B66)&lt;&gt;"可",COUNTIFS($A$7:A65,$A66,$F$7:F65,3)&gt;0,COUNTIF($F$7:F65,3)&gt;='設定'!C9,O63&gt;='設定'!D9),1000000,COUNTIF($F$7:F65,3)*100+MOD(2+15+'設定'!$F$3,6))</x:f>
        <x:v>1000000</x:v>
      </x:c>
      <x:c r="J66" s="2" t="n">
        <x:f>IF(OR($D66=0,INDEX('希望休'!$B$7:$AF$12,4,$B66)&lt;&gt;"可",COUNTIFS($A$7:A65,$A66,$F$7:F65,4)&gt;0,COUNTIF($F$7:F65,4)&gt;='設定'!C10,P63&gt;='設定'!D10),1000000,COUNTIF($F$7:F65,4)*100+MOD(3+15+'設定'!$F$3,6))</x:f>
        <x:v>1000000</x:v>
      </x:c>
      <x:c r="K66" s="2" t="n">
        <x:f>IF(OR($D66=0,INDEX('希望休'!$B$7:$AF$12,5,$B66)&lt;&gt;"可",COUNTIFS($A$7:A65,$A66,$F$7:F65,5)&gt;0,COUNTIF($F$7:F65,5)&gt;='設定'!C11,Q63&gt;='設定'!D11),1000000,COUNTIF($F$7:F65,5)*100+MOD(4+15+'設定'!$F$3,6))</x:f>
        <x:v>1000000</x:v>
      </x:c>
      <x:c r="L66" s="2" t="n">
        <x:f>IF(OR($D66=0,INDEX('希望休'!$B$7:$AF$12,6,$B66)&lt;&gt;"可",COUNTIFS($A$7:A65,$A66,$F$7:F65,6)&gt;0,COUNTIF($F$7:F65,6)&gt;='設定'!C12,R63&gt;='設定'!D12),1000000,COUNTIF($F$7:F65,6)*100+MOD(5+15+'設定'!$F$3,6))</x:f>
        <x:v>1002</x:v>
      </x:c>
      <x:c r="M66" s="2" t="n">
        <x:f>IF($A66="",0,IF(COUNTIF($F$64:F66,1)&gt;0,M63+1,0))</x:f>
        <x:v>2</x:v>
      </x:c>
      <x:c r="N66" s="2" t="n">
        <x:f>IF($A66="",0,IF(COUNTIF($F$64:F66,2)&gt;0,N63+1,0))</x:f>
        <x:v>0</x:v>
      </x:c>
      <x:c r="O66" s="2" t="n">
        <x:f>IF($A66="",0,IF(COUNTIF($F$64:F66,3)&gt;0,O63+1,0))</x:f>
        <x:v>0</x:v>
      </x:c>
      <x:c r="P66" s="2" t="n">
        <x:f>IF($A66="",0,IF(COUNTIF($F$64:F66,4)&gt;0,P63+1,0))</x:f>
        <x:v>1</x:v>
      </x:c>
      <x:c r="Q66" s="2" t="n">
        <x:f>IF($A66="",0,IF(COUNTIF($F$64:F66,5)&gt;0,Q63+1,0))</x:f>
        <x:v>2</x:v>
      </x:c>
      <x:c r="R66" s="2" t="n">
        <x:f>IF($A66="",0,IF(COUNTIF($F$64:F66,6)&gt;0,R63+1,0))</x:f>
        <x:v>0</x:v>
      </x:c>
    </x:row>
    <x:row r="67" ht="24" customHeight="1">
      <x:c r="A67" s="15" t="n">
        <x:f>'設定'!P16</x:f>
        <x:v>46280</x:v>
      </x:c>
      <x:c r="B67" s="2" t="n">
        <x:f>15</x:f>
        <x:v>15</x:v>
      </x:c>
      <x:c r="C67" s="2" t="str">
        <x:f>"遅"</x:f>
        <x:v>遅</x:v>
      </x:c>
      <x:c r="D67" s="2" t="n">
        <x:f>IF(AND('設定'!$B$21="入力OK",'設定'!P16&lt;&gt;"",'設定'!P18&gt;=2),1,0)</x:f>
        <x:v>1</x:v>
      </x:c>
      <x:c r="E67" s="2" t="str">
        <x:f>IF(D67=0,"",IF(F67=0,"不足",INDEX('設定'!$B$7:$B$12,F67)))</x:f>
        <x:v>スタッフB</x:v>
      </x:c>
      <x:c r="F67" s="2" t="n">
        <x:f>IF(D67=0,"",IF(MIN(G67:L67)&gt;=1000000,0,MATCH(MIN(G67:L67),G67:L67,0)))</x:f>
        <x:v>2</x:v>
      </x:c>
      <x:c r="G67" s="2" t="n">
        <x:f>IF(OR($D67=0,INDEX('希望休'!$B$7:$AF$12,1,$B67)&lt;&gt;"可",COUNTIFS($A$7:A66,$A67,$F$7:F66,1)&gt;0,COUNTIF($F$7:F66,1)&gt;='設定'!C7,M63&gt;='設定'!D7),1000000,COUNTIF($F$7:F66,1)*100+MOD(0+15+'設定'!$F$3,6))</x:f>
        <x:v>1000000</x:v>
      </x:c>
      <x:c r="H67" s="2" t="n">
        <x:f>IF(OR($D67=0,INDEX('希望休'!$B$7:$AF$12,2,$B67)&lt;&gt;"可",COUNTIFS($A$7:A66,$A67,$F$7:F66,2)&gt;0,COUNTIF($F$7:F66,2)&gt;='設定'!C8,N63&gt;='設定'!D8),1000000,COUNTIF($F$7:F66,2)*100+MOD(1+15+'設定'!$F$3,6))</x:f>
        <x:v>904</x:v>
      </x:c>
      <x:c r="I67" s="2" t="n">
        <x:f>IF(OR($D67=0,INDEX('希望休'!$B$7:$AF$12,3,$B67)&lt;&gt;"可",COUNTIFS($A$7:A66,$A67,$F$7:F66,3)&gt;0,COUNTIF($F$7:F66,3)&gt;='設定'!C9,O63&gt;='設定'!D9),1000000,COUNTIF($F$7:F66,3)*100+MOD(2+15+'設定'!$F$3,6))</x:f>
        <x:v>1000000</x:v>
      </x:c>
      <x:c r="J67" s="2" t="n">
        <x:f>IF(OR($D67=0,INDEX('希望休'!$B$7:$AF$12,4,$B67)&lt;&gt;"可",COUNTIFS($A$7:A66,$A67,$F$7:F66,4)&gt;0,COUNTIF($F$7:F66,4)&gt;='設定'!C10,P63&gt;='設定'!D10),1000000,COUNTIF($F$7:F66,4)*100+MOD(3+15+'設定'!$F$3,6))</x:f>
        <x:v>1000000</x:v>
      </x:c>
      <x:c r="K67" s="2" t="n">
        <x:f>IF(OR($D67=0,INDEX('希望休'!$B$7:$AF$12,5,$B67)&lt;&gt;"可",COUNTIFS($A$7:A66,$A67,$F$7:F66,5)&gt;0,COUNTIF($F$7:F66,5)&gt;='設定'!C11,Q63&gt;='設定'!D11),1000000,COUNTIF($F$7:F66,5)*100+MOD(4+15+'設定'!$F$3,6))</x:f>
        <x:v>1000000</x:v>
      </x:c>
      <x:c r="L67" s="2" t="n">
        <x:f>IF(OR($D67=0,INDEX('希望休'!$B$7:$AF$12,6,$B67)&lt;&gt;"可",COUNTIFS($A$7:A66,$A67,$F$7:F66,6)&gt;0,COUNTIF($F$7:F66,6)&gt;='設定'!C12,R63&gt;='設定'!D12),1000000,COUNTIF($F$7:F66,6)*100+MOD(5+15+'設定'!$F$3,6))</x:f>
        <x:v>1002</x:v>
      </x:c>
      <x:c r="M67" s="2" t="n">
        <x:f>IF($A67="",0,IF(COUNTIF($F$64:F67,1)&gt;0,M63+1,0))</x:f>
        <x:v>2</x:v>
      </x:c>
      <x:c r="N67" s="2" t="n">
        <x:f>IF($A67="",0,IF(COUNTIF($F$64:F67,2)&gt;0,N63+1,0))</x:f>
        <x:v>1</x:v>
      </x:c>
      <x:c r="O67" s="2" t="n">
        <x:f>IF($A67="",0,IF(COUNTIF($F$64:F67,3)&gt;0,O63+1,0))</x:f>
        <x:v>0</x:v>
      </x:c>
      <x:c r="P67" s="2" t="n">
        <x:f>IF($A67="",0,IF(COUNTIF($F$64:F67,4)&gt;0,P63+1,0))</x:f>
        <x:v>1</x:v>
      </x:c>
      <x:c r="Q67" s="2" t="n">
        <x:f>IF($A67="",0,IF(COUNTIF($F$64:F67,5)&gt;0,Q63+1,0))</x:f>
        <x:v>2</x:v>
      </x:c>
      <x:c r="R67" s="2" t="n">
        <x:f>IF($A67="",0,IF(COUNTIF($F$64:F67,6)&gt;0,R63+1,0))</x:f>
        <x:v>0</x:v>
      </x:c>
    </x:row>
    <x:row r="68" ht="24" customHeight="1">
      <x:c r="A68" s="15" t="n">
        <x:f>'設定'!Q16</x:f>
        <x:v>46281</x:v>
      </x:c>
      <x:c r="B68" s="2" t="n">
        <x:f>16</x:f>
        <x:v>16</x:v>
      </x:c>
      <x:c r="C68" s="2" t="str">
        <x:f>"早"</x:f>
        <x:v>早</x:v>
      </x:c>
      <x:c r="D68" s="2" t="n">
        <x:f>IF(AND('設定'!$B$21="入力OK",'設定'!Q16&lt;&gt;"",'設定'!Q17&gt;=1),1,0)</x:f>
        <x:v>1</x:v>
      </x:c>
      <x:c r="E68" s="2" t="str">
        <x:f>IF(D68=0,"",IF(F68=0,"不足",INDEX('設定'!$B$7:$B$12,F68)))</x:f>
        <x:v>スタッフC</x:v>
      </x:c>
      <x:c r="F68" s="2" t="n">
        <x:f>IF(D68=0,"",IF(MIN(G68:L68)&gt;=1000000,0,MATCH(MIN(G68:L68),G68:L68,0)))</x:f>
        <x:v>3</x:v>
      </x:c>
      <x:c r="G68" s="2" t="n">
        <x:f>IF(OR($D68=0,INDEX('希望休'!$B$7:$AF$12,1,$B68)&lt;&gt;"可",COUNTIFS($A$7:A67,$A68,$F$7:F67,1)&gt;0,COUNTIF($F$7:F67,1)&gt;='設定'!C7,M67&gt;='設定'!D7),1000000,COUNTIF($F$7:F67,1)*100+MOD(0+16+'設定'!$F$3,6))</x:f>
        <x:v>1004</x:v>
      </x:c>
      <x:c r="H68" s="2" t="n">
        <x:f>IF(OR($D68=0,INDEX('希望休'!$B$7:$AF$12,2,$B68)&lt;&gt;"可",COUNTIFS($A$7:A67,$A68,$F$7:F67,2)&gt;0,COUNTIF($F$7:F67,2)&gt;='設定'!C8,N67&gt;='設定'!D8),1000000,COUNTIF($F$7:F67,2)*100+MOD(1+16+'設定'!$F$3,6))</x:f>
        <x:v>1005</x:v>
      </x:c>
      <x:c r="I68" s="2" t="n">
        <x:f>IF(OR($D68=0,INDEX('希望休'!$B$7:$AF$12,3,$B68)&lt;&gt;"可",COUNTIFS($A$7:A67,$A68,$F$7:F67,3)&gt;0,COUNTIF($F$7:F67,3)&gt;='設定'!C9,O67&gt;='設定'!D9),1000000,COUNTIF($F$7:F67,3)*100+MOD(2+16+'設定'!$F$3,6))</x:f>
        <x:v>1000</x:v>
      </x:c>
      <x:c r="J68" s="2" t="n">
        <x:f>IF(OR($D68=0,INDEX('希望休'!$B$7:$AF$12,4,$B68)&lt;&gt;"可",COUNTIFS($A$7:A67,$A68,$F$7:F67,4)&gt;0,COUNTIF($F$7:F67,4)&gt;='設定'!C10,P67&gt;='設定'!D10),1000000,COUNTIF($F$7:F67,4)*100+MOD(3+16+'設定'!$F$3,6))</x:f>
        <x:v>1000000</x:v>
      </x:c>
      <x:c r="K68" s="2" t="n">
        <x:f>IF(OR($D68=0,INDEX('希望休'!$B$7:$AF$12,5,$B68)&lt;&gt;"可",COUNTIFS($A$7:A67,$A68,$F$7:F67,5)&gt;0,COUNTIF($F$7:F67,5)&gt;='設定'!C11,Q67&gt;='設定'!D11),1000000,COUNTIF($F$7:F67,5)*100+MOD(4+16+'設定'!$F$3,6))</x:f>
        <x:v>1002</x:v>
      </x:c>
      <x:c r="L68" s="2" t="n">
        <x:f>IF(OR($D68=0,INDEX('希望休'!$B$7:$AF$12,6,$B68)&lt;&gt;"可",COUNTIFS($A$7:A67,$A68,$F$7:F67,6)&gt;0,COUNTIF($F$7:F67,6)&gt;='設定'!C12,R67&gt;='設定'!D12),1000000,COUNTIF($F$7:F67,6)*100+MOD(5+16+'設定'!$F$3,6))</x:f>
        <x:v>1003</x:v>
      </x:c>
      <x:c r="M68" s="2" t="n">
        <x:f>IF($A68="",0,IF(COUNTIF($F$68:F68,1)&gt;0,M67+1,0))</x:f>
        <x:v>0</x:v>
      </x:c>
      <x:c r="N68" s="2" t="n">
        <x:f>IF($A68="",0,IF(COUNTIF($F$68:F68,2)&gt;0,N67+1,0))</x:f>
        <x:v>0</x:v>
      </x:c>
      <x:c r="O68" s="2" t="n">
        <x:f>IF($A68="",0,IF(COUNTIF($F$68:F68,3)&gt;0,O67+1,0))</x:f>
        <x:v>1</x:v>
      </x:c>
      <x:c r="P68" s="2" t="n">
        <x:f>IF($A68="",0,IF(COUNTIF($F$68:F68,4)&gt;0,P67+1,0))</x:f>
        <x:v>0</x:v>
      </x:c>
      <x:c r="Q68" s="2" t="n">
        <x:f>IF($A68="",0,IF(COUNTIF($F$68:F68,5)&gt;0,Q67+1,0))</x:f>
        <x:v>0</x:v>
      </x:c>
      <x:c r="R68" s="2" t="n">
        <x:f>IF($A68="",0,IF(COUNTIF($F$68:F68,6)&gt;0,R67+1,0))</x:f>
        <x:v>0</x:v>
      </x:c>
    </x:row>
    <x:row r="69" ht="24" customHeight="1">
      <x:c r="A69" s="15" t="n">
        <x:f>'設定'!Q16</x:f>
        <x:v>46281</x:v>
      </x:c>
      <x:c r="B69" s="2" t="n">
        <x:f>16</x:f>
        <x:v>16</x:v>
      </x:c>
      <x:c r="C69" s="2" t="str">
        <x:f>"早"</x:f>
        <x:v>早</x:v>
      </x:c>
      <x:c r="D69" s="2" t="n">
        <x:f>IF(AND('設定'!$B$21="入力OK",'設定'!Q16&lt;&gt;"",'設定'!Q17&gt;=2),1,0)</x:f>
        <x:v>1</x:v>
      </x:c>
      <x:c r="E69" s="2" t="str">
        <x:f>IF(D69=0,"",IF(F69=0,"不足",INDEX('設定'!$B$7:$B$12,F69)))</x:f>
        <x:v>スタッフE</x:v>
      </x:c>
      <x:c r="F69" s="2" t="n">
        <x:f>IF(D69=0,"",IF(MIN(G69:L69)&gt;=1000000,0,MATCH(MIN(G69:L69),G69:L69,0)))</x:f>
        <x:v>5</x:v>
      </x:c>
      <x:c r="G69" s="2" t="n">
        <x:f>IF(OR($D69=0,INDEX('希望休'!$B$7:$AF$12,1,$B69)&lt;&gt;"可",COUNTIFS($A$7:A68,$A69,$F$7:F68,1)&gt;0,COUNTIF($F$7:F68,1)&gt;='設定'!C7,M67&gt;='設定'!D7),1000000,COUNTIF($F$7:F68,1)*100+MOD(0+16+'設定'!$F$3,6))</x:f>
        <x:v>1004</x:v>
      </x:c>
      <x:c r="H69" s="2" t="n">
        <x:f>IF(OR($D69=0,INDEX('希望休'!$B$7:$AF$12,2,$B69)&lt;&gt;"可",COUNTIFS($A$7:A68,$A69,$F$7:F68,2)&gt;0,COUNTIF($F$7:F68,2)&gt;='設定'!C8,N67&gt;='設定'!D8),1000000,COUNTIF($F$7:F68,2)*100+MOD(1+16+'設定'!$F$3,6))</x:f>
        <x:v>1005</x:v>
      </x:c>
      <x:c r="I69" s="2" t="n">
        <x:f>IF(OR($D69=0,INDEX('希望休'!$B$7:$AF$12,3,$B69)&lt;&gt;"可",COUNTIFS($A$7:A68,$A69,$F$7:F68,3)&gt;0,COUNTIF($F$7:F68,3)&gt;='設定'!C9,O67&gt;='設定'!D9),1000000,COUNTIF($F$7:F68,3)*100+MOD(2+16+'設定'!$F$3,6))</x:f>
        <x:v>1000000</x:v>
      </x:c>
      <x:c r="J69" s="2" t="n">
        <x:f>IF(OR($D69=0,INDEX('希望休'!$B$7:$AF$12,4,$B69)&lt;&gt;"可",COUNTIFS($A$7:A68,$A69,$F$7:F68,4)&gt;0,COUNTIF($F$7:F68,4)&gt;='設定'!C10,P67&gt;='設定'!D10),1000000,COUNTIF($F$7:F68,4)*100+MOD(3+16+'設定'!$F$3,6))</x:f>
        <x:v>1000000</x:v>
      </x:c>
      <x:c r="K69" s="2" t="n">
        <x:f>IF(OR($D69=0,INDEX('希望休'!$B$7:$AF$12,5,$B69)&lt;&gt;"可",COUNTIFS($A$7:A68,$A69,$F$7:F68,5)&gt;0,COUNTIF($F$7:F68,5)&gt;='設定'!C11,Q67&gt;='設定'!D11),1000000,COUNTIF($F$7:F68,5)*100+MOD(4+16+'設定'!$F$3,6))</x:f>
        <x:v>1002</x:v>
      </x:c>
      <x:c r="L69" s="2" t="n">
        <x:f>IF(OR($D69=0,INDEX('希望休'!$B$7:$AF$12,6,$B69)&lt;&gt;"可",COUNTIFS($A$7:A68,$A69,$F$7:F68,6)&gt;0,COUNTIF($F$7:F68,6)&gt;='設定'!C12,R67&gt;='設定'!D12),1000000,COUNTIF($F$7:F68,6)*100+MOD(5+16+'設定'!$F$3,6))</x:f>
        <x:v>1003</x:v>
      </x:c>
      <x:c r="M69" s="2" t="n">
        <x:f>IF($A69="",0,IF(COUNTIF($F$68:F69,1)&gt;0,M67+1,0))</x:f>
        <x:v>0</x:v>
      </x:c>
      <x:c r="N69" s="2" t="n">
        <x:f>IF($A69="",0,IF(COUNTIF($F$68:F69,2)&gt;0,N67+1,0))</x:f>
        <x:v>0</x:v>
      </x:c>
      <x:c r="O69" s="2" t="n">
        <x:f>IF($A69="",0,IF(COUNTIF($F$68:F69,3)&gt;0,O67+1,0))</x:f>
        <x:v>1</x:v>
      </x:c>
      <x:c r="P69" s="2" t="n">
        <x:f>IF($A69="",0,IF(COUNTIF($F$68:F69,4)&gt;0,P67+1,0))</x:f>
        <x:v>0</x:v>
      </x:c>
      <x:c r="Q69" s="2" t="n">
        <x:f>IF($A69="",0,IF(COUNTIF($F$68:F69,5)&gt;0,Q67+1,0))</x:f>
        <x:v>3</x:v>
      </x:c>
      <x:c r="R69" s="2" t="n">
        <x:f>IF($A69="",0,IF(COUNTIF($F$68:F69,6)&gt;0,R67+1,0))</x:f>
        <x:v>0</x:v>
      </x:c>
    </x:row>
    <x:row r="70" ht="24" customHeight="1">
      <x:c r="A70" s="15" t="n">
        <x:f>'設定'!Q16</x:f>
        <x:v>46281</x:v>
      </x:c>
      <x:c r="B70" s="2" t="n">
        <x:f>16</x:f>
        <x:v>16</x:v>
      </x:c>
      <x:c r="C70" s="2" t="str">
        <x:f>"遅"</x:f>
        <x:v>遅</x:v>
      </x:c>
      <x:c r="D70" s="2" t="n">
        <x:f>IF(AND('設定'!$B$21="入力OK",'設定'!Q16&lt;&gt;"",'設定'!Q18&gt;=1),1,0)</x:f>
        <x:v>1</x:v>
      </x:c>
      <x:c r="E70" s="2" t="str">
        <x:f>IF(D70=0,"",IF(F70=0,"不足",INDEX('設定'!$B$7:$B$12,F70)))</x:f>
        <x:v>スタッフF</x:v>
      </x:c>
      <x:c r="F70" s="2" t="n">
        <x:f>IF(D70=0,"",IF(MIN(G70:L70)&gt;=1000000,0,MATCH(MIN(G70:L70),G70:L70,0)))</x:f>
        <x:v>6</x:v>
      </x:c>
      <x:c r="G70" s="2" t="n">
        <x:f>IF(OR($D70=0,INDEX('希望休'!$B$7:$AF$12,1,$B70)&lt;&gt;"可",COUNTIFS($A$7:A69,$A70,$F$7:F69,1)&gt;0,COUNTIF($F$7:F69,1)&gt;='設定'!C7,M67&gt;='設定'!D7),1000000,COUNTIF($F$7:F69,1)*100+MOD(0+16+'設定'!$F$3,6))</x:f>
        <x:v>1004</x:v>
      </x:c>
      <x:c r="H70" s="2" t="n">
        <x:f>IF(OR($D70=0,INDEX('希望休'!$B$7:$AF$12,2,$B70)&lt;&gt;"可",COUNTIFS($A$7:A69,$A70,$F$7:F69,2)&gt;0,COUNTIF($F$7:F69,2)&gt;='設定'!C8,N67&gt;='設定'!D8),1000000,COUNTIF($F$7:F69,2)*100+MOD(1+16+'設定'!$F$3,6))</x:f>
        <x:v>1005</x:v>
      </x:c>
      <x:c r="I70" s="2" t="n">
        <x:f>IF(OR($D70=0,INDEX('希望休'!$B$7:$AF$12,3,$B70)&lt;&gt;"可",COUNTIFS($A$7:A69,$A70,$F$7:F69,3)&gt;0,COUNTIF($F$7:F69,3)&gt;='設定'!C9,O67&gt;='設定'!D9),1000000,COUNTIF($F$7:F69,3)*100+MOD(2+16+'設定'!$F$3,6))</x:f>
        <x:v>1000000</x:v>
      </x:c>
      <x:c r="J70" s="2" t="n">
        <x:f>IF(OR($D70=0,INDEX('希望休'!$B$7:$AF$12,4,$B70)&lt;&gt;"可",COUNTIFS($A$7:A69,$A70,$F$7:F69,4)&gt;0,COUNTIF($F$7:F69,4)&gt;='設定'!C10,P67&gt;='設定'!D10),1000000,COUNTIF($F$7:F69,4)*100+MOD(3+16+'設定'!$F$3,6))</x:f>
        <x:v>1000000</x:v>
      </x:c>
      <x:c r="K70" s="2" t="n">
        <x:f>IF(OR($D70=0,INDEX('希望休'!$B$7:$AF$12,5,$B70)&lt;&gt;"可",COUNTIFS($A$7:A69,$A70,$F$7:F69,5)&gt;0,COUNTIF($F$7:F69,5)&gt;='設定'!C11,Q67&gt;='設定'!D11),1000000,COUNTIF($F$7:F69,5)*100+MOD(4+16+'設定'!$F$3,6))</x:f>
        <x:v>1000000</x:v>
      </x:c>
      <x:c r="L70" s="2" t="n">
        <x:f>IF(OR($D70=0,INDEX('希望休'!$B$7:$AF$12,6,$B70)&lt;&gt;"可",COUNTIFS($A$7:A69,$A70,$F$7:F69,6)&gt;0,COUNTIF($F$7:F69,6)&gt;='設定'!C12,R67&gt;='設定'!D12),1000000,COUNTIF($F$7:F69,6)*100+MOD(5+16+'設定'!$F$3,6))</x:f>
        <x:v>1003</x:v>
      </x:c>
      <x:c r="M70" s="2" t="n">
        <x:f>IF($A70="",0,IF(COUNTIF($F$68:F70,1)&gt;0,M67+1,0))</x:f>
        <x:v>0</x:v>
      </x:c>
      <x:c r="N70" s="2" t="n">
        <x:f>IF($A70="",0,IF(COUNTIF($F$68:F70,2)&gt;0,N67+1,0))</x:f>
        <x:v>0</x:v>
      </x:c>
      <x:c r="O70" s="2" t="n">
        <x:f>IF($A70="",0,IF(COUNTIF($F$68:F70,3)&gt;0,O67+1,0))</x:f>
        <x:v>1</x:v>
      </x:c>
      <x:c r="P70" s="2" t="n">
        <x:f>IF($A70="",0,IF(COUNTIF($F$68:F70,4)&gt;0,P67+1,0))</x:f>
        <x:v>0</x:v>
      </x:c>
      <x:c r="Q70" s="2" t="n">
        <x:f>IF($A70="",0,IF(COUNTIF($F$68:F70,5)&gt;0,Q67+1,0))</x:f>
        <x:v>3</x:v>
      </x:c>
      <x:c r="R70" s="2" t="n">
        <x:f>IF($A70="",0,IF(COUNTIF($F$68:F70,6)&gt;0,R67+1,0))</x:f>
        <x:v>1</x:v>
      </x:c>
    </x:row>
    <x:row r="71" ht="24" customHeight="1">
      <x:c r="A71" s="15" t="n">
        <x:f>'設定'!Q16</x:f>
        <x:v>46281</x:v>
      </x:c>
      <x:c r="B71" s="2" t="n">
        <x:f>16</x:f>
        <x:v>16</x:v>
      </x:c>
      <x:c r="C71" s="2" t="str">
        <x:f>"遅"</x:f>
        <x:v>遅</x:v>
      </x:c>
      <x:c r="D71" s="2" t="n">
        <x:f>IF(AND('設定'!$B$21="入力OK",'設定'!Q16&lt;&gt;"",'設定'!Q18&gt;=2),1,0)</x:f>
        <x:v>1</x:v>
      </x:c>
      <x:c r="E71" s="2" t="str">
        <x:f>IF(D71=0,"",IF(F71=0,"不足",INDEX('設定'!$B$7:$B$12,F71)))</x:f>
        <x:v>スタッフA</x:v>
      </x:c>
      <x:c r="F71" s="2" t="n">
        <x:f>IF(D71=0,"",IF(MIN(G71:L71)&gt;=1000000,0,MATCH(MIN(G71:L71),G71:L71,0)))</x:f>
        <x:v>1</x:v>
      </x:c>
      <x:c r="G71" s="2" t="n">
        <x:f>IF(OR($D71=0,INDEX('希望休'!$B$7:$AF$12,1,$B71)&lt;&gt;"可",COUNTIFS($A$7:A70,$A71,$F$7:F70,1)&gt;0,COUNTIF($F$7:F70,1)&gt;='設定'!C7,M67&gt;='設定'!D7),1000000,COUNTIF($F$7:F70,1)*100+MOD(0+16+'設定'!$F$3,6))</x:f>
        <x:v>1004</x:v>
      </x:c>
      <x:c r="H71" s="2" t="n">
        <x:f>IF(OR($D71=0,INDEX('希望休'!$B$7:$AF$12,2,$B71)&lt;&gt;"可",COUNTIFS($A$7:A70,$A71,$F$7:F70,2)&gt;0,COUNTIF($F$7:F70,2)&gt;='設定'!C8,N67&gt;='設定'!D8),1000000,COUNTIF($F$7:F70,2)*100+MOD(1+16+'設定'!$F$3,6))</x:f>
        <x:v>1005</x:v>
      </x:c>
      <x:c r="I71" s="2" t="n">
        <x:f>IF(OR($D71=0,INDEX('希望休'!$B$7:$AF$12,3,$B71)&lt;&gt;"可",COUNTIFS($A$7:A70,$A71,$F$7:F70,3)&gt;0,COUNTIF($F$7:F70,3)&gt;='設定'!C9,O67&gt;='設定'!D9),1000000,COUNTIF($F$7:F70,3)*100+MOD(2+16+'設定'!$F$3,6))</x:f>
        <x:v>1000000</x:v>
      </x:c>
      <x:c r="J71" s="2" t="n">
        <x:f>IF(OR($D71=0,INDEX('希望休'!$B$7:$AF$12,4,$B71)&lt;&gt;"可",COUNTIFS($A$7:A70,$A71,$F$7:F70,4)&gt;0,COUNTIF($F$7:F70,4)&gt;='設定'!C10,P67&gt;='設定'!D10),1000000,COUNTIF($F$7:F70,4)*100+MOD(3+16+'設定'!$F$3,6))</x:f>
        <x:v>1000000</x:v>
      </x:c>
      <x:c r="K71" s="2" t="n">
        <x:f>IF(OR($D71=0,INDEX('希望休'!$B$7:$AF$12,5,$B71)&lt;&gt;"可",COUNTIFS($A$7:A70,$A71,$F$7:F70,5)&gt;0,COUNTIF($F$7:F70,5)&gt;='設定'!C11,Q67&gt;='設定'!D11),1000000,COUNTIF($F$7:F70,5)*100+MOD(4+16+'設定'!$F$3,6))</x:f>
        <x:v>1000000</x:v>
      </x:c>
      <x:c r="L71" s="2" t="n">
        <x:f>IF(OR($D71=0,INDEX('希望休'!$B$7:$AF$12,6,$B71)&lt;&gt;"可",COUNTIFS($A$7:A70,$A71,$F$7:F70,6)&gt;0,COUNTIF($F$7:F70,6)&gt;='設定'!C12,R67&gt;='設定'!D12),1000000,COUNTIF($F$7:F70,6)*100+MOD(5+16+'設定'!$F$3,6))</x:f>
        <x:v>1000000</x:v>
      </x:c>
      <x:c r="M71" s="2" t="n">
        <x:f>IF($A71="",0,IF(COUNTIF($F$68:F71,1)&gt;0,M67+1,0))</x:f>
        <x:v>3</x:v>
      </x:c>
      <x:c r="N71" s="2" t="n">
        <x:f>IF($A71="",0,IF(COUNTIF($F$68:F71,2)&gt;0,N67+1,0))</x:f>
        <x:v>0</x:v>
      </x:c>
      <x:c r="O71" s="2" t="n">
        <x:f>IF($A71="",0,IF(COUNTIF($F$68:F71,3)&gt;0,O67+1,0))</x:f>
        <x:v>1</x:v>
      </x:c>
      <x:c r="P71" s="2" t="n">
        <x:f>IF($A71="",0,IF(COUNTIF($F$68:F71,4)&gt;0,P67+1,0))</x:f>
        <x:v>0</x:v>
      </x:c>
      <x:c r="Q71" s="2" t="n">
        <x:f>IF($A71="",0,IF(COUNTIF($F$68:F71,5)&gt;0,Q67+1,0))</x:f>
        <x:v>3</x:v>
      </x:c>
      <x:c r="R71" s="2" t="n">
        <x:f>IF($A71="",0,IF(COUNTIF($F$68:F71,6)&gt;0,R67+1,0))</x:f>
        <x:v>1</x:v>
      </x:c>
    </x:row>
    <x:row r="72" ht="24" customHeight="1">
      <x:c r="A72" s="15" t="n">
        <x:f>'設定'!R16</x:f>
        <x:v>46282</x:v>
      </x:c>
      <x:c r="B72" s="2" t="n">
        <x:f>17</x:f>
        <x:v>17</x:v>
      </x:c>
      <x:c r="C72" s="2" t="str">
        <x:f>"早"</x:f>
        <x:v>早</x:v>
      </x:c>
      <x:c r="D72" s="2" t="n">
        <x:f>IF(AND('設定'!$B$21="入力OK",'設定'!R16&lt;&gt;"",'設定'!R17&gt;=1),1,0)</x:f>
        <x:v>1</x:v>
      </x:c>
      <x:c r="E72" s="2" t="str">
        <x:f>IF(D72=0,"",IF(F72=0,"不足",INDEX('設定'!$B$7:$B$12,F72)))</x:f>
        <x:v>スタッフB</x:v>
      </x:c>
      <x:c r="F72" s="2" t="n">
        <x:f>IF(D72=0,"",IF(MIN(G72:L72)&gt;=1000000,0,MATCH(MIN(G72:L72),G72:L72,0)))</x:f>
        <x:v>2</x:v>
      </x:c>
      <x:c r="G72" s="2" t="n">
        <x:f>IF(OR($D72=0,INDEX('希望休'!$B$7:$AF$12,1,$B72)&lt;&gt;"可",COUNTIFS($A$7:A71,$A72,$F$7:F71,1)&gt;0,COUNTIF($F$7:F71,1)&gt;='設定'!C7,M71&gt;='設定'!D7),1000000,COUNTIF($F$7:F71,1)*100+MOD(0+17+'設定'!$F$3,6))</x:f>
        <x:v>1105</x:v>
      </x:c>
      <x:c r="H72" s="2" t="n">
        <x:f>IF(OR($D72=0,INDEX('希望休'!$B$7:$AF$12,2,$B72)&lt;&gt;"可",COUNTIFS($A$7:A71,$A72,$F$7:F71,2)&gt;0,COUNTIF($F$7:F71,2)&gt;='設定'!C8,N71&gt;='設定'!D8),1000000,COUNTIF($F$7:F71,2)*100+MOD(1+17+'設定'!$F$3,6))</x:f>
        <x:v>1000</x:v>
      </x:c>
      <x:c r="I72" s="2" t="n">
        <x:f>IF(OR($D72=0,INDEX('希望休'!$B$7:$AF$12,3,$B72)&lt;&gt;"可",COUNTIFS($A$7:A71,$A72,$F$7:F71,3)&gt;0,COUNTIF($F$7:F71,3)&gt;='設定'!C9,O71&gt;='設定'!D9),1000000,COUNTIF($F$7:F71,3)*100+MOD(2+17+'設定'!$F$3,6))</x:f>
        <x:v>1101</x:v>
      </x:c>
      <x:c r="J72" s="2" t="n">
        <x:f>IF(OR($D72=0,INDEX('希望休'!$B$7:$AF$12,4,$B72)&lt;&gt;"可",COUNTIFS($A$7:A71,$A72,$F$7:F71,4)&gt;0,COUNTIF($F$7:F71,4)&gt;='設定'!C10,P71&gt;='設定'!D10),1000000,COUNTIF($F$7:F71,4)*100+MOD(3+17+'設定'!$F$3,6))</x:f>
        <x:v>1002</x:v>
      </x:c>
      <x:c r="K72" s="2" t="n">
        <x:f>IF(OR($D72=0,INDEX('希望休'!$B$7:$AF$12,5,$B72)&lt;&gt;"可",COUNTIFS($A$7:A71,$A72,$F$7:F71,5)&gt;0,COUNTIF($F$7:F71,5)&gt;='設定'!C11,Q71&gt;='設定'!D11),1000000,COUNTIF($F$7:F71,5)*100+MOD(4+17+'設定'!$F$3,6))</x:f>
        <x:v>1000000</x:v>
      </x:c>
      <x:c r="L72" s="2" t="n">
        <x:f>IF(OR($D72=0,INDEX('希望休'!$B$7:$AF$12,6,$B72)&lt;&gt;"可",COUNTIFS($A$7:A71,$A72,$F$7:F71,6)&gt;0,COUNTIF($F$7:F71,6)&gt;='設定'!C12,R71&gt;='設定'!D12),1000000,COUNTIF($F$7:F71,6)*100+MOD(5+17+'設定'!$F$3,6))</x:f>
        <x:v>1104</x:v>
      </x:c>
      <x:c r="M72" s="2" t="n">
        <x:f>IF($A72="",0,IF(COUNTIF($F$72:F72,1)&gt;0,M71+1,0))</x:f>
        <x:v>0</x:v>
      </x:c>
      <x:c r="N72" s="2" t="n">
        <x:f>IF($A72="",0,IF(COUNTIF($F$72:F72,2)&gt;0,N71+1,0))</x:f>
        <x:v>1</x:v>
      </x:c>
      <x:c r="O72" s="2" t="n">
        <x:f>IF($A72="",0,IF(COUNTIF($F$72:F72,3)&gt;0,O71+1,0))</x:f>
        <x:v>0</x:v>
      </x:c>
      <x:c r="P72" s="2" t="n">
        <x:f>IF($A72="",0,IF(COUNTIF($F$72:F72,4)&gt;0,P71+1,0))</x:f>
        <x:v>0</x:v>
      </x:c>
      <x:c r="Q72" s="2" t="n">
        <x:f>IF($A72="",0,IF(COUNTIF($F$72:F72,5)&gt;0,Q71+1,0))</x:f>
        <x:v>0</x:v>
      </x:c>
      <x:c r="R72" s="2" t="n">
        <x:f>IF($A72="",0,IF(COUNTIF($F$72:F72,6)&gt;0,R71+1,0))</x:f>
        <x:v>0</x:v>
      </x:c>
    </x:row>
    <x:row r="73" ht="24" customHeight="1">
      <x:c r="A73" s="15" t="n">
        <x:f>'設定'!R16</x:f>
        <x:v>46282</x:v>
      </x:c>
      <x:c r="B73" s="2" t="n">
        <x:f>17</x:f>
        <x:v>17</x:v>
      </x:c>
      <x:c r="C73" s="2" t="str">
        <x:f>"早"</x:f>
        <x:v>早</x:v>
      </x:c>
      <x:c r="D73" s="2" t="n">
        <x:f>IF(AND('設定'!$B$21="入力OK",'設定'!R16&lt;&gt;"",'設定'!R17&gt;=2),1,0)</x:f>
        <x:v>1</x:v>
      </x:c>
      <x:c r="E73" s="2" t="str">
        <x:f>IF(D73=0,"",IF(F73=0,"不足",INDEX('設定'!$B$7:$B$12,F73)))</x:f>
        <x:v>スタッフD</x:v>
      </x:c>
      <x:c r="F73" s="2" t="n">
        <x:f>IF(D73=0,"",IF(MIN(G73:L73)&gt;=1000000,0,MATCH(MIN(G73:L73),G73:L73,0)))</x:f>
        <x:v>4</x:v>
      </x:c>
      <x:c r="G73" s="2" t="n">
        <x:f>IF(OR($D73=0,INDEX('希望休'!$B$7:$AF$12,1,$B73)&lt;&gt;"可",COUNTIFS($A$7:A72,$A73,$F$7:F72,1)&gt;0,COUNTIF($F$7:F72,1)&gt;='設定'!C7,M71&gt;='設定'!D7),1000000,COUNTIF($F$7:F72,1)*100+MOD(0+17+'設定'!$F$3,6))</x:f>
        <x:v>1105</x:v>
      </x:c>
      <x:c r="H73" s="2" t="n">
        <x:f>IF(OR($D73=0,INDEX('希望休'!$B$7:$AF$12,2,$B73)&lt;&gt;"可",COUNTIFS($A$7:A72,$A73,$F$7:F72,2)&gt;0,COUNTIF($F$7:F72,2)&gt;='設定'!C8,N71&gt;='設定'!D8),1000000,COUNTIF($F$7:F72,2)*100+MOD(1+17+'設定'!$F$3,6))</x:f>
        <x:v>1000000</x:v>
      </x:c>
      <x:c r="I73" s="2" t="n">
        <x:f>IF(OR($D73=0,INDEX('希望休'!$B$7:$AF$12,3,$B73)&lt;&gt;"可",COUNTIFS($A$7:A72,$A73,$F$7:F72,3)&gt;0,COUNTIF($F$7:F72,3)&gt;='設定'!C9,O71&gt;='設定'!D9),1000000,COUNTIF($F$7:F72,3)*100+MOD(2+17+'設定'!$F$3,6))</x:f>
        <x:v>1101</x:v>
      </x:c>
      <x:c r="J73" s="2" t="n">
        <x:f>IF(OR($D73=0,INDEX('希望休'!$B$7:$AF$12,4,$B73)&lt;&gt;"可",COUNTIFS($A$7:A72,$A73,$F$7:F72,4)&gt;0,COUNTIF($F$7:F72,4)&gt;='設定'!C10,P71&gt;='設定'!D10),1000000,COUNTIF($F$7:F72,4)*100+MOD(3+17+'設定'!$F$3,6))</x:f>
        <x:v>1002</x:v>
      </x:c>
      <x:c r="K73" s="2" t="n">
        <x:f>IF(OR($D73=0,INDEX('希望休'!$B$7:$AF$12,5,$B73)&lt;&gt;"可",COUNTIFS($A$7:A72,$A73,$F$7:F72,5)&gt;0,COUNTIF($F$7:F72,5)&gt;='設定'!C11,Q71&gt;='設定'!D11),1000000,COUNTIF($F$7:F72,5)*100+MOD(4+17+'設定'!$F$3,6))</x:f>
        <x:v>1000000</x:v>
      </x:c>
      <x:c r="L73" s="2" t="n">
        <x:f>IF(OR($D73=0,INDEX('希望休'!$B$7:$AF$12,6,$B73)&lt;&gt;"可",COUNTIFS($A$7:A72,$A73,$F$7:F72,6)&gt;0,COUNTIF($F$7:F72,6)&gt;='設定'!C12,R71&gt;='設定'!D12),1000000,COUNTIF($F$7:F72,6)*100+MOD(5+17+'設定'!$F$3,6))</x:f>
        <x:v>1104</x:v>
      </x:c>
      <x:c r="M73" s="2" t="n">
        <x:f>IF($A73="",0,IF(COUNTIF($F$72:F73,1)&gt;0,M71+1,0))</x:f>
        <x:v>0</x:v>
      </x:c>
      <x:c r="N73" s="2" t="n">
        <x:f>IF($A73="",0,IF(COUNTIF($F$72:F73,2)&gt;0,N71+1,0))</x:f>
        <x:v>1</x:v>
      </x:c>
      <x:c r="O73" s="2" t="n">
        <x:f>IF($A73="",0,IF(COUNTIF($F$72:F73,3)&gt;0,O71+1,0))</x:f>
        <x:v>0</x:v>
      </x:c>
      <x:c r="P73" s="2" t="n">
        <x:f>IF($A73="",0,IF(COUNTIF($F$72:F73,4)&gt;0,P71+1,0))</x:f>
        <x:v>1</x:v>
      </x:c>
      <x:c r="Q73" s="2" t="n">
        <x:f>IF($A73="",0,IF(COUNTIF($F$72:F73,5)&gt;0,Q71+1,0))</x:f>
        <x:v>0</x:v>
      </x:c>
      <x:c r="R73" s="2" t="n">
        <x:f>IF($A73="",0,IF(COUNTIF($F$72:F73,6)&gt;0,R71+1,0))</x:f>
        <x:v>0</x:v>
      </x:c>
    </x:row>
    <x:row r="74" ht="24" customHeight="1">
      <x:c r="A74" s="15" t="n">
        <x:f>'設定'!R16</x:f>
        <x:v>46282</x:v>
      </x:c>
      <x:c r="B74" s="2" t="n">
        <x:f>17</x:f>
        <x:v>17</x:v>
      </x:c>
      <x:c r="C74" s="2" t="str">
        <x:f>"遅"</x:f>
        <x:v>遅</x:v>
      </x:c>
      <x:c r="D74" s="2" t="n">
        <x:f>IF(AND('設定'!$B$21="入力OK",'設定'!R16&lt;&gt;"",'設定'!R18&gt;=1),1,0)</x:f>
        <x:v>1</x:v>
      </x:c>
      <x:c r="E74" s="2" t="str">
        <x:f>IF(D74=0,"",IF(F74=0,"不足",INDEX('設定'!$B$7:$B$12,F74)))</x:f>
        <x:v>スタッフC</x:v>
      </x:c>
      <x:c r="F74" s="2" t="n">
        <x:f>IF(D74=0,"",IF(MIN(G74:L74)&gt;=1000000,0,MATCH(MIN(G74:L74),G74:L74,0)))</x:f>
        <x:v>3</x:v>
      </x:c>
      <x:c r="G74" s="2" t="n">
        <x:f>IF(OR($D74=0,INDEX('希望休'!$B$7:$AF$12,1,$B74)&lt;&gt;"可",COUNTIFS($A$7:A73,$A74,$F$7:F73,1)&gt;0,COUNTIF($F$7:F73,1)&gt;='設定'!C7,M71&gt;='設定'!D7),1000000,COUNTIF($F$7:F73,1)*100+MOD(0+17+'設定'!$F$3,6))</x:f>
        <x:v>1105</x:v>
      </x:c>
      <x:c r="H74" s="2" t="n">
        <x:f>IF(OR($D74=0,INDEX('希望休'!$B$7:$AF$12,2,$B74)&lt;&gt;"可",COUNTIFS($A$7:A73,$A74,$F$7:F73,2)&gt;0,COUNTIF($F$7:F73,2)&gt;='設定'!C8,N71&gt;='設定'!D8),1000000,COUNTIF($F$7:F73,2)*100+MOD(1+17+'設定'!$F$3,6))</x:f>
        <x:v>1000000</x:v>
      </x:c>
      <x:c r="I74" s="2" t="n">
        <x:f>IF(OR($D74=0,INDEX('希望休'!$B$7:$AF$12,3,$B74)&lt;&gt;"可",COUNTIFS($A$7:A73,$A74,$F$7:F73,3)&gt;0,COUNTIF($F$7:F73,3)&gt;='設定'!C9,O71&gt;='設定'!D9),1000000,COUNTIF($F$7:F73,3)*100+MOD(2+17+'設定'!$F$3,6))</x:f>
        <x:v>1101</x:v>
      </x:c>
      <x:c r="J74" s="2" t="n">
        <x:f>IF(OR($D74=0,INDEX('希望休'!$B$7:$AF$12,4,$B74)&lt;&gt;"可",COUNTIFS($A$7:A73,$A74,$F$7:F73,4)&gt;0,COUNTIF($F$7:F73,4)&gt;='設定'!C10,P71&gt;='設定'!D10),1000000,COUNTIF($F$7:F73,4)*100+MOD(3+17+'設定'!$F$3,6))</x:f>
        <x:v>1000000</x:v>
      </x:c>
      <x:c r="K74" s="2" t="n">
        <x:f>IF(OR($D74=0,INDEX('希望休'!$B$7:$AF$12,5,$B74)&lt;&gt;"可",COUNTIFS($A$7:A73,$A74,$F$7:F73,5)&gt;0,COUNTIF($F$7:F73,5)&gt;='設定'!C11,Q71&gt;='設定'!D11),1000000,COUNTIF($F$7:F73,5)*100+MOD(4+17+'設定'!$F$3,6))</x:f>
        <x:v>1000000</x:v>
      </x:c>
      <x:c r="L74" s="2" t="n">
        <x:f>IF(OR($D74=0,INDEX('希望休'!$B$7:$AF$12,6,$B74)&lt;&gt;"可",COUNTIFS($A$7:A73,$A74,$F$7:F73,6)&gt;0,COUNTIF($F$7:F73,6)&gt;='設定'!C12,R71&gt;='設定'!D12),1000000,COUNTIF($F$7:F73,6)*100+MOD(5+17+'設定'!$F$3,6))</x:f>
        <x:v>1104</x:v>
      </x:c>
      <x:c r="M74" s="2" t="n">
        <x:f>IF($A74="",0,IF(COUNTIF($F$72:F74,1)&gt;0,M71+1,0))</x:f>
        <x:v>0</x:v>
      </x:c>
      <x:c r="N74" s="2" t="n">
        <x:f>IF($A74="",0,IF(COUNTIF($F$72:F74,2)&gt;0,N71+1,0))</x:f>
        <x:v>1</x:v>
      </x:c>
      <x:c r="O74" s="2" t="n">
        <x:f>IF($A74="",0,IF(COUNTIF($F$72:F74,3)&gt;0,O71+1,0))</x:f>
        <x:v>2</x:v>
      </x:c>
      <x:c r="P74" s="2" t="n">
        <x:f>IF($A74="",0,IF(COUNTIF($F$72:F74,4)&gt;0,P71+1,0))</x:f>
        <x:v>1</x:v>
      </x:c>
      <x:c r="Q74" s="2" t="n">
        <x:f>IF($A74="",0,IF(COUNTIF($F$72:F74,5)&gt;0,Q71+1,0))</x:f>
        <x:v>0</x:v>
      </x:c>
      <x:c r="R74" s="2" t="n">
        <x:f>IF($A74="",0,IF(COUNTIF($F$72:F74,6)&gt;0,R71+1,0))</x:f>
        <x:v>0</x:v>
      </x:c>
    </x:row>
    <x:row r="75" ht="24" customHeight="1">
      <x:c r="A75" s="15" t="n">
        <x:f>'設定'!R16</x:f>
        <x:v>46282</x:v>
      </x:c>
      <x:c r="B75" s="2" t="n">
        <x:f>17</x:f>
        <x:v>17</x:v>
      </x:c>
      <x:c r="C75" s="2" t="str">
        <x:f>"遅"</x:f>
        <x:v>遅</x:v>
      </x:c>
      <x:c r="D75" s="2" t="n">
        <x:f>IF(AND('設定'!$B$21="入力OK",'設定'!R16&lt;&gt;"",'設定'!R18&gt;=2),1,0)</x:f>
        <x:v>1</x:v>
      </x:c>
      <x:c r="E75" s="2" t="str">
        <x:f>IF(D75=0,"",IF(F75=0,"不足",INDEX('設定'!$B$7:$B$12,F75)))</x:f>
        <x:v>スタッフF</x:v>
      </x:c>
      <x:c r="F75" s="2" t="n">
        <x:f>IF(D75=0,"",IF(MIN(G75:L75)&gt;=1000000,0,MATCH(MIN(G75:L75),G75:L75,0)))</x:f>
        <x:v>6</x:v>
      </x:c>
      <x:c r="G75" s="2" t="n">
        <x:f>IF(OR($D75=0,INDEX('希望休'!$B$7:$AF$12,1,$B75)&lt;&gt;"可",COUNTIFS($A$7:A74,$A75,$F$7:F74,1)&gt;0,COUNTIF($F$7:F74,1)&gt;='設定'!C7,M71&gt;='設定'!D7),1000000,COUNTIF($F$7:F74,1)*100+MOD(0+17+'設定'!$F$3,6))</x:f>
        <x:v>1105</x:v>
      </x:c>
      <x:c r="H75" s="2" t="n">
        <x:f>IF(OR($D75=0,INDEX('希望休'!$B$7:$AF$12,2,$B75)&lt;&gt;"可",COUNTIFS($A$7:A74,$A75,$F$7:F74,2)&gt;0,COUNTIF($F$7:F74,2)&gt;='設定'!C8,N71&gt;='設定'!D8),1000000,COUNTIF($F$7:F74,2)*100+MOD(1+17+'設定'!$F$3,6))</x:f>
        <x:v>1000000</x:v>
      </x:c>
      <x:c r="I75" s="2" t="n">
        <x:f>IF(OR($D75=0,INDEX('希望休'!$B$7:$AF$12,3,$B75)&lt;&gt;"可",COUNTIFS($A$7:A74,$A75,$F$7:F74,3)&gt;0,COUNTIF($F$7:F74,3)&gt;='設定'!C9,O71&gt;='設定'!D9),1000000,COUNTIF($F$7:F74,3)*100+MOD(2+17+'設定'!$F$3,6))</x:f>
        <x:v>1000000</x:v>
      </x:c>
      <x:c r="J75" s="2" t="n">
        <x:f>IF(OR($D75=0,INDEX('希望休'!$B$7:$AF$12,4,$B75)&lt;&gt;"可",COUNTIFS($A$7:A74,$A75,$F$7:F74,4)&gt;0,COUNTIF($F$7:F74,4)&gt;='設定'!C10,P71&gt;='設定'!D10),1000000,COUNTIF($F$7:F74,4)*100+MOD(3+17+'設定'!$F$3,6))</x:f>
        <x:v>1000000</x:v>
      </x:c>
      <x:c r="K75" s="2" t="n">
        <x:f>IF(OR($D75=0,INDEX('希望休'!$B$7:$AF$12,5,$B75)&lt;&gt;"可",COUNTIFS($A$7:A74,$A75,$F$7:F74,5)&gt;0,COUNTIF($F$7:F74,5)&gt;='設定'!C11,Q71&gt;='設定'!D11),1000000,COUNTIF($F$7:F74,5)*100+MOD(4+17+'設定'!$F$3,6))</x:f>
        <x:v>1000000</x:v>
      </x:c>
      <x:c r="L75" s="2" t="n">
        <x:f>IF(OR($D75=0,INDEX('希望休'!$B$7:$AF$12,6,$B75)&lt;&gt;"可",COUNTIFS($A$7:A74,$A75,$F$7:F74,6)&gt;0,COUNTIF($F$7:F74,6)&gt;='設定'!C12,R71&gt;='設定'!D12),1000000,COUNTIF($F$7:F74,6)*100+MOD(5+17+'設定'!$F$3,6))</x:f>
        <x:v>1104</x:v>
      </x:c>
      <x:c r="M75" s="2" t="n">
        <x:f>IF($A75="",0,IF(COUNTIF($F$72:F75,1)&gt;0,M71+1,0))</x:f>
        <x:v>0</x:v>
      </x:c>
      <x:c r="N75" s="2" t="n">
        <x:f>IF($A75="",0,IF(COUNTIF($F$72:F75,2)&gt;0,N71+1,0))</x:f>
        <x:v>1</x:v>
      </x:c>
      <x:c r="O75" s="2" t="n">
        <x:f>IF($A75="",0,IF(COUNTIF($F$72:F75,3)&gt;0,O71+1,0))</x:f>
        <x:v>2</x:v>
      </x:c>
      <x:c r="P75" s="2" t="n">
        <x:f>IF($A75="",0,IF(COUNTIF($F$72:F75,4)&gt;0,P71+1,0))</x:f>
        <x:v>1</x:v>
      </x:c>
      <x:c r="Q75" s="2" t="n">
        <x:f>IF($A75="",0,IF(COUNTIF($F$72:F75,5)&gt;0,Q71+1,0))</x:f>
        <x:v>0</x:v>
      </x:c>
      <x:c r="R75" s="2" t="n">
        <x:f>IF($A75="",0,IF(COUNTIF($F$72:F75,6)&gt;0,R71+1,0))</x:f>
        <x:v>2</x:v>
      </x:c>
    </x:row>
    <x:row r="76" ht="24" customHeight="1">
      <x:c r="A76" s="15" t="n">
        <x:f>'設定'!S16</x:f>
        <x:v>46283</x:v>
      </x:c>
      <x:c r="B76" s="2" t="n">
        <x:f>18</x:f>
        <x:v>18</x:v>
      </x:c>
      <x:c r="C76" s="2" t="str">
        <x:f>"早"</x:f>
        <x:v>早</x:v>
      </x:c>
      <x:c r="D76" s="2" t="n">
        <x:f>IF(AND('設定'!$B$21="入力OK",'設定'!S16&lt;&gt;"",'設定'!S17&gt;=1),1,0)</x:f>
        <x:v>1</x:v>
      </x:c>
      <x:c r="E76" s="2" t="str">
        <x:f>IF(D76=0,"",IF(F76=0,"不足",INDEX('設定'!$B$7:$B$12,F76)))</x:f>
        <x:v>スタッフA</x:v>
      </x:c>
      <x:c r="F76" s="2" t="n">
        <x:f>IF(D76=0,"",IF(MIN(G76:L76)&gt;=1000000,0,MATCH(MIN(G76:L76),G76:L76,0)))</x:f>
        <x:v>1</x:v>
      </x:c>
      <x:c r="G76" s="2" t="n">
        <x:f>IF(OR($D76=0,INDEX('希望休'!$B$7:$AF$12,1,$B76)&lt;&gt;"可",COUNTIFS($A$7:A75,$A76,$F$7:F75,1)&gt;0,COUNTIF($F$7:F75,1)&gt;='設定'!C7,M75&gt;='設定'!D7),1000000,COUNTIF($F$7:F75,1)*100+MOD(0+18+'設定'!$F$3,6))</x:f>
        <x:v>1100</x:v>
      </x:c>
      <x:c r="H76" s="2" t="n">
        <x:f>IF(OR($D76=0,INDEX('希望休'!$B$7:$AF$12,2,$B76)&lt;&gt;"可",COUNTIFS($A$7:A75,$A76,$F$7:F75,2)&gt;0,COUNTIF($F$7:F75,2)&gt;='設定'!C8,N75&gt;='設定'!D8),1000000,COUNTIF($F$7:F75,2)*100+MOD(1+18+'設定'!$F$3,6))</x:f>
        <x:v>1101</x:v>
      </x:c>
      <x:c r="I76" s="2" t="n">
        <x:f>IF(OR($D76=0,INDEX('希望休'!$B$7:$AF$12,3,$B76)&lt;&gt;"可",COUNTIFS($A$7:A75,$A76,$F$7:F75,3)&gt;0,COUNTIF($F$7:F75,3)&gt;='設定'!C9,O75&gt;='設定'!D9),1000000,COUNTIF($F$7:F75,3)*100+MOD(2+18+'設定'!$F$3,6))</x:f>
        <x:v>1202</x:v>
      </x:c>
      <x:c r="J76" s="2" t="n">
        <x:f>IF(OR($D76=0,INDEX('希望休'!$B$7:$AF$12,4,$B76)&lt;&gt;"可",COUNTIFS($A$7:A75,$A76,$F$7:F75,4)&gt;0,COUNTIF($F$7:F75,4)&gt;='設定'!C10,P75&gt;='設定'!D10),1000000,COUNTIF($F$7:F75,4)*100+MOD(3+18+'設定'!$F$3,6))</x:f>
        <x:v>1103</x:v>
      </x:c>
      <x:c r="K76" s="2" t="n">
        <x:f>IF(OR($D76=0,INDEX('希望休'!$B$7:$AF$12,5,$B76)&lt;&gt;"可",COUNTIFS($A$7:A75,$A76,$F$7:F75,5)&gt;0,COUNTIF($F$7:F75,5)&gt;='設定'!C11,Q75&gt;='設定'!D11),1000000,COUNTIF($F$7:F75,5)*100+MOD(4+18+'設定'!$F$3,6))</x:f>
        <x:v>1104</x:v>
      </x:c>
      <x:c r="L76" s="2" t="n">
        <x:f>IF(OR($D76=0,INDEX('希望休'!$B$7:$AF$12,6,$B76)&lt;&gt;"可",COUNTIFS($A$7:A75,$A76,$F$7:F75,6)&gt;0,COUNTIF($F$7:F75,6)&gt;='設定'!C12,R75&gt;='設定'!D12),1000000,COUNTIF($F$7:F75,6)*100+MOD(5+18+'設定'!$F$3,6))</x:f>
        <x:v>1000000</x:v>
      </x:c>
      <x:c r="M76" s="2" t="n">
        <x:f>IF($A76="",0,IF(COUNTIF($F$76:F76,1)&gt;0,M75+1,0))</x:f>
        <x:v>1</x:v>
      </x:c>
      <x:c r="N76" s="2" t="n">
        <x:f>IF($A76="",0,IF(COUNTIF($F$76:F76,2)&gt;0,N75+1,0))</x:f>
        <x:v>0</x:v>
      </x:c>
      <x:c r="O76" s="2" t="n">
        <x:f>IF($A76="",0,IF(COUNTIF($F$76:F76,3)&gt;0,O75+1,0))</x:f>
        <x:v>0</x:v>
      </x:c>
      <x:c r="P76" s="2" t="n">
        <x:f>IF($A76="",0,IF(COUNTIF($F$76:F76,4)&gt;0,P75+1,0))</x:f>
        <x:v>0</x:v>
      </x:c>
      <x:c r="Q76" s="2" t="n">
        <x:f>IF($A76="",0,IF(COUNTIF($F$76:F76,5)&gt;0,Q75+1,0))</x:f>
        <x:v>0</x:v>
      </x:c>
      <x:c r="R76" s="2" t="n">
        <x:f>IF($A76="",0,IF(COUNTIF($F$76:F76,6)&gt;0,R75+1,0))</x:f>
        <x:v>0</x:v>
      </x:c>
    </x:row>
    <x:row r="77" ht="24" customHeight="1">
      <x:c r="A77" s="15" t="n">
        <x:f>'設定'!S16</x:f>
        <x:v>46283</x:v>
      </x:c>
      <x:c r="B77" s="2" t="n">
        <x:f>18</x:f>
        <x:v>18</x:v>
      </x:c>
      <x:c r="C77" s="2" t="str">
        <x:f>"早"</x:f>
        <x:v>早</x:v>
      </x:c>
      <x:c r="D77" s="2" t="n">
        <x:f>IF(AND('設定'!$B$21="入力OK",'設定'!S16&lt;&gt;"",'設定'!S17&gt;=2),1,0)</x:f>
        <x:v>1</x:v>
      </x:c>
      <x:c r="E77" s="2" t="str">
        <x:f>IF(D77=0,"",IF(F77=0,"不足",INDEX('設定'!$B$7:$B$12,F77)))</x:f>
        <x:v>スタッフB</x:v>
      </x:c>
      <x:c r="F77" s="2" t="n">
        <x:f>IF(D77=0,"",IF(MIN(G77:L77)&gt;=1000000,0,MATCH(MIN(G77:L77),G77:L77,0)))</x:f>
        <x:v>2</x:v>
      </x:c>
      <x:c r="G77" s="2" t="n">
        <x:f>IF(OR($D77=0,INDEX('希望休'!$B$7:$AF$12,1,$B77)&lt;&gt;"可",COUNTIFS($A$7:A76,$A77,$F$7:F76,1)&gt;0,COUNTIF($F$7:F76,1)&gt;='設定'!C7,M75&gt;='設定'!D7),1000000,COUNTIF($F$7:F76,1)*100+MOD(0+18+'設定'!$F$3,6))</x:f>
        <x:v>1000000</x:v>
      </x:c>
      <x:c r="H77" s="2" t="n">
        <x:f>IF(OR($D77=0,INDEX('希望休'!$B$7:$AF$12,2,$B77)&lt;&gt;"可",COUNTIFS($A$7:A76,$A77,$F$7:F76,2)&gt;0,COUNTIF($F$7:F76,2)&gt;='設定'!C8,N75&gt;='設定'!D8),1000000,COUNTIF($F$7:F76,2)*100+MOD(1+18+'設定'!$F$3,6))</x:f>
        <x:v>1101</x:v>
      </x:c>
      <x:c r="I77" s="2" t="n">
        <x:f>IF(OR($D77=0,INDEX('希望休'!$B$7:$AF$12,3,$B77)&lt;&gt;"可",COUNTIFS($A$7:A76,$A77,$F$7:F76,3)&gt;0,COUNTIF($F$7:F76,3)&gt;='設定'!C9,O75&gt;='設定'!D9),1000000,COUNTIF($F$7:F76,3)*100+MOD(2+18+'設定'!$F$3,6))</x:f>
        <x:v>1202</x:v>
      </x:c>
      <x:c r="J77" s="2" t="n">
        <x:f>IF(OR($D77=0,INDEX('希望休'!$B$7:$AF$12,4,$B77)&lt;&gt;"可",COUNTIFS($A$7:A76,$A77,$F$7:F76,4)&gt;0,COUNTIF($F$7:F76,4)&gt;='設定'!C10,P75&gt;='設定'!D10),1000000,COUNTIF($F$7:F76,4)*100+MOD(3+18+'設定'!$F$3,6))</x:f>
        <x:v>1103</x:v>
      </x:c>
      <x:c r="K77" s="2" t="n">
        <x:f>IF(OR($D77=0,INDEX('希望休'!$B$7:$AF$12,5,$B77)&lt;&gt;"可",COUNTIFS($A$7:A76,$A77,$F$7:F76,5)&gt;0,COUNTIF($F$7:F76,5)&gt;='設定'!C11,Q75&gt;='設定'!D11),1000000,COUNTIF($F$7:F76,5)*100+MOD(4+18+'設定'!$F$3,6))</x:f>
        <x:v>1104</x:v>
      </x:c>
      <x:c r="L77" s="2" t="n">
        <x:f>IF(OR($D77=0,INDEX('希望休'!$B$7:$AF$12,6,$B77)&lt;&gt;"可",COUNTIFS($A$7:A76,$A77,$F$7:F76,6)&gt;0,COUNTIF($F$7:F76,6)&gt;='設定'!C12,R75&gt;='設定'!D12),1000000,COUNTIF($F$7:F76,6)*100+MOD(5+18+'設定'!$F$3,6))</x:f>
        <x:v>1000000</x:v>
      </x:c>
      <x:c r="M77" s="2" t="n">
        <x:f>IF($A77="",0,IF(COUNTIF($F$76:F77,1)&gt;0,M75+1,0))</x:f>
        <x:v>1</x:v>
      </x:c>
      <x:c r="N77" s="2" t="n">
        <x:f>IF($A77="",0,IF(COUNTIF($F$76:F77,2)&gt;0,N75+1,0))</x:f>
        <x:v>2</x:v>
      </x:c>
      <x:c r="O77" s="2" t="n">
        <x:f>IF($A77="",0,IF(COUNTIF($F$76:F77,3)&gt;0,O75+1,0))</x:f>
        <x:v>0</x:v>
      </x:c>
      <x:c r="P77" s="2" t="n">
        <x:f>IF($A77="",0,IF(COUNTIF($F$76:F77,4)&gt;0,P75+1,0))</x:f>
        <x:v>0</x:v>
      </x:c>
      <x:c r="Q77" s="2" t="n">
        <x:f>IF($A77="",0,IF(COUNTIF($F$76:F77,5)&gt;0,Q75+1,0))</x:f>
        <x:v>0</x:v>
      </x:c>
      <x:c r="R77" s="2" t="n">
        <x:f>IF($A77="",0,IF(COUNTIF($F$76:F77,6)&gt;0,R75+1,0))</x:f>
        <x:v>0</x:v>
      </x:c>
    </x:row>
    <x:row r="78" ht="24" customHeight="1">
      <x:c r="A78" s="15" t="n">
        <x:f>'設定'!S16</x:f>
        <x:v>46283</x:v>
      </x:c>
      <x:c r="B78" s="2" t="n">
        <x:f>18</x:f>
        <x:v>18</x:v>
      </x:c>
      <x:c r="C78" s="2" t="str">
        <x:f>"遅"</x:f>
        <x:v>遅</x:v>
      </x:c>
      <x:c r="D78" s="2" t="n">
        <x:f>IF(AND('設定'!$B$21="入力OK",'設定'!S16&lt;&gt;"",'設定'!S18&gt;=1),1,0)</x:f>
        <x:v>1</x:v>
      </x:c>
      <x:c r="E78" s="2" t="str">
        <x:f>IF(D78=0,"",IF(F78=0,"不足",INDEX('設定'!$B$7:$B$12,F78)))</x:f>
        <x:v>スタッフD</x:v>
      </x:c>
      <x:c r="F78" s="2" t="n">
        <x:f>IF(D78=0,"",IF(MIN(G78:L78)&gt;=1000000,0,MATCH(MIN(G78:L78),G78:L78,0)))</x:f>
        <x:v>4</x:v>
      </x:c>
      <x:c r="G78" s="2" t="n">
        <x:f>IF(OR($D78=0,INDEX('希望休'!$B$7:$AF$12,1,$B78)&lt;&gt;"可",COUNTIFS($A$7:A77,$A78,$F$7:F77,1)&gt;0,COUNTIF($F$7:F77,1)&gt;='設定'!C7,M75&gt;='設定'!D7),1000000,COUNTIF($F$7:F77,1)*100+MOD(0+18+'設定'!$F$3,6))</x:f>
        <x:v>1000000</x:v>
      </x:c>
      <x:c r="H78" s="2" t="n">
        <x:f>IF(OR($D78=0,INDEX('希望休'!$B$7:$AF$12,2,$B78)&lt;&gt;"可",COUNTIFS($A$7:A77,$A78,$F$7:F77,2)&gt;0,COUNTIF($F$7:F77,2)&gt;='設定'!C8,N75&gt;='設定'!D8),1000000,COUNTIF($F$7:F77,2)*100+MOD(1+18+'設定'!$F$3,6))</x:f>
        <x:v>1000000</x:v>
      </x:c>
      <x:c r="I78" s="2" t="n">
        <x:f>IF(OR($D78=0,INDEX('希望休'!$B$7:$AF$12,3,$B78)&lt;&gt;"可",COUNTIFS($A$7:A77,$A78,$F$7:F77,3)&gt;0,COUNTIF($F$7:F77,3)&gt;='設定'!C9,O75&gt;='設定'!D9),1000000,COUNTIF($F$7:F77,3)*100+MOD(2+18+'設定'!$F$3,6))</x:f>
        <x:v>1202</x:v>
      </x:c>
      <x:c r="J78" s="2" t="n">
        <x:f>IF(OR($D78=0,INDEX('希望休'!$B$7:$AF$12,4,$B78)&lt;&gt;"可",COUNTIFS($A$7:A77,$A78,$F$7:F77,4)&gt;0,COUNTIF($F$7:F77,4)&gt;='設定'!C10,P75&gt;='設定'!D10),1000000,COUNTIF($F$7:F77,4)*100+MOD(3+18+'設定'!$F$3,6))</x:f>
        <x:v>1103</x:v>
      </x:c>
      <x:c r="K78" s="2" t="n">
        <x:f>IF(OR($D78=0,INDEX('希望休'!$B$7:$AF$12,5,$B78)&lt;&gt;"可",COUNTIFS($A$7:A77,$A78,$F$7:F77,5)&gt;0,COUNTIF($F$7:F77,5)&gt;='設定'!C11,Q75&gt;='設定'!D11),1000000,COUNTIF($F$7:F77,5)*100+MOD(4+18+'設定'!$F$3,6))</x:f>
        <x:v>1104</x:v>
      </x:c>
      <x:c r="L78" s="2" t="n">
        <x:f>IF(OR($D78=0,INDEX('希望休'!$B$7:$AF$12,6,$B78)&lt;&gt;"可",COUNTIFS($A$7:A77,$A78,$F$7:F77,6)&gt;0,COUNTIF($F$7:F77,6)&gt;='設定'!C12,R75&gt;='設定'!D12),1000000,COUNTIF($F$7:F77,6)*100+MOD(5+18+'設定'!$F$3,6))</x:f>
        <x:v>1000000</x:v>
      </x:c>
      <x:c r="M78" s="2" t="n">
        <x:f>IF($A78="",0,IF(COUNTIF($F$76:F78,1)&gt;0,M75+1,0))</x:f>
        <x:v>1</x:v>
      </x:c>
      <x:c r="N78" s="2" t="n">
        <x:f>IF($A78="",0,IF(COUNTIF($F$76:F78,2)&gt;0,N75+1,0))</x:f>
        <x:v>2</x:v>
      </x:c>
      <x:c r="O78" s="2" t="n">
        <x:f>IF($A78="",0,IF(COUNTIF($F$76:F78,3)&gt;0,O75+1,0))</x:f>
        <x:v>0</x:v>
      </x:c>
      <x:c r="P78" s="2" t="n">
        <x:f>IF($A78="",0,IF(COUNTIF($F$76:F78,4)&gt;0,P75+1,0))</x:f>
        <x:v>2</x:v>
      </x:c>
      <x:c r="Q78" s="2" t="n">
        <x:f>IF($A78="",0,IF(COUNTIF($F$76:F78,5)&gt;0,Q75+1,0))</x:f>
        <x:v>0</x:v>
      </x:c>
      <x:c r="R78" s="2" t="n">
        <x:f>IF($A78="",0,IF(COUNTIF($F$76:F78,6)&gt;0,R75+1,0))</x:f>
        <x:v>0</x:v>
      </x:c>
    </x:row>
    <x:row r="79" ht="24" customHeight="1">
      <x:c r="A79" s="15" t="n">
        <x:f>'設定'!S16</x:f>
        <x:v>46283</x:v>
      </x:c>
      <x:c r="B79" s="2" t="n">
        <x:f>18</x:f>
        <x:v>18</x:v>
      </x:c>
      <x:c r="C79" s="2" t="str">
        <x:f>"遅"</x:f>
        <x:v>遅</x:v>
      </x:c>
      <x:c r="D79" s="2" t="n">
        <x:f>IF(AND('設定'!$B$21="入力OK",'設定'!S16&lt;&gt;"",'設定'!S18&gt;=2),1,0)</x:f>
        <x:v>1</x:v>
      </x:c>
      <x:c r="E79" s="2" t="str">
        <x:f>IF(D79=0,"",IF(F79=0,"不足",INDEX('設定'!$B$7:$B$12,F79)))</x:f>
        <x:v>スタッフE</x:v>
      </x:c>
      <x:c r="F79" s="2" t="n">
        <x:f>IF(D79=0,"",IF(MIN(G79:L79)&gt;=1000000,0,MATCH(MIN(G79:L79),G79:L79,0)))</x:f>
        <x:v>5</x:v>
      </x:c>
      <x:c r="G79" s="2" t="n">
        <x:f>IF(OR($D79=0,INDEX('希望休'!$B$7:$AF$12,1,$B79)&lt;&gt;"可",COUNTIFS($A$7:A78,$A79,$F$7:F78,1)&gt;0,COUNTIF($F$7:F78,1)&gt;='設定'!C7,M75&gt;='設定'!D7),1000000,COUNTIF($F$7:F78,1)*100+MOD(0+18+'設定'!$F$3,6))</x:f>
        <x:v>1000000</x:v>
      </x:c>
      <x:c r="H79" s="2" t="n">
        <x:f>IF(OR($D79=0,INDEX('希望休'!$B$7:$AF$12,2,$B79)&lt;&gt;"可",COUNTIFS($A$7:A78,$A79,$F$7:F78,2)&gt;0,COUNTIF($F$7:F78,2)&gt;='設定'!C8,N75&gt;='設定'!D8),1000000,COUNTIF($F$7:F78,2)*100+MOD(1+18+'設定'!$F$3,6))</x:f>
        <x:v>1000000</x:v>
      </x:c>
      <x:c r="I79" s="2" t="n">
        <x:f>IF(OR($D79=0,INDEX('希望休'!$B$7:$AF$12,3,$B79)&lt;&gt;"可",COUNTIFS($A$7:A78,$A79,$F$7:F78,3)&gt;0,COUNTIF($F$7:F78,3)&gt;='設定'!C9,O75&gt;='設定'!D9),1000000,COUNTIF($F$7:F78,3)*100+MOD(2+18+'設定'!$F$3,6))</x:f>
        <x:v>1202</x:v>
      </x:c>
      <x:c r="J79" s="2" t="n">
        <x:f>IF(OR($D79=0,INDEX('希望休'!$B$7:$AF$12,4,$B79)&lt;&gt;"可",COUNTIFS($A$7:A78,$A79,$F$7:F78,4)&gt;0,COUNTIF($F$7:F78,4)&gt;='設定'!C10,P75&gt;='設定'!D10),1000000,COUNTIF($F$7:F78,4)*100+MOD(3+18+'設定'!$F$3,6))</x:f>
        <x:v>1000000</x:v>
      </x:c>
      <x:c r="K79" s="2" t="n">
        <x:f>IF(OR($D79=0,INDEX('希望休'!$B$7:$AF$12,5,$B79)&lt;&gt;"可",COUNTIFS($A$7:A78,$A79,$F$7:F78,5)&gt;0,COUNTIF($F$7:F78,5)&gt;='設定'!C11,Q75&gt;='設定'!D11),1000000,COUNTIF($F$7:F78,5)*100+MOD(4+18+'設定'!$F$3,6))</x:f>
        <x:v>1104</x:v>
      </x:c>
      <x:c r="L79" s="2" t="n">
        <x:f>IF(OR($D79=0,INDEX('希望休'!$B$7:$AF$12,6,$B79)&lt;&gt;"可",COUNTIFS($A$7:A78,$A79,$F$7:F78,6)&gt;0,COUNTIF($F$7:F78,6)&gt;='設定'!C12,R75&gt;='設定'!D12),1000000,COUNTIF($F$7:F78,6)*100+MOD(5+18+'設定'!$F$3,6))</x:f>
        <x:v>1000000</x:v>
      </x:c>
      <x:c r="M79" s="2" t="n">
        <x:f>IF($A79="",0,IF(COUNTIF($F$76:F79,1)&gt;0,M75+1,0))</x:f>
        <x:v>1</x:v>
      </x:c>
      <x:c r="N79" s="2" t="n">
        <x:f>IF($A79="",0,IF(COUNTIF($F$76:F79,2)&gt;0,N75+1,0))</x:f>
        <x:v>2</x:v>
      </x:c>
      <x:c r="O79" s="2" t="n">
        <x:f>IF($A79="",0,IF(COUNTIF($F$76:F79,3)&gt;0,O75+1,0))</x:f>
        <x:v>0</x:v>
      </x:c>
      <x:c r="P79" s="2" t="n">
        <x:f>IF($A79="",0,IF(COUNTIF($F$76:F79,4)&gt;0,P75+1,0))</x:f>
        <x:v>2</x:v>
      </x:c>
      <x:c r="Q79" s="2" t="n">
        <x:f>IF($A79="",0,IF(COUNTIF($F$76:F79,5)&gt;0,Q75+1,0))</x:f>
        <x:v>1</x:v>
      </x:c>
      <x:c r="R79" s="2" t="n">
        <x:f>IF($A79="",0,IF(COUNTIF($F$76:F79,6)&gt;0,R75+1,0))</x:f>
        <x:v>0</x:v>
      </x:c>
    </x:row>
    <x:row r="80" ht="24" customHeight="1">
      <x:c r="A80" s="15" t="n">
        <x:f>'設定'!T16</x:f>
        <x:v>46284</x:v>
      </x:c>
      <x:c r="B80" s="2" t="n">
        <x:f>19</x:f>
        <x:v>19</x:v>
      </x:c>
      <x:c r="C80" s="2" t="str">
        <x:f>"早"</x:f>
        <x:v>早</x:v>
      </x:c>
      <x:c r="D80" s="2" t="n">
        <x:f>IF(AND('設定'!$B$21="入力OK",'設定'!T16&lt;&gt;"",'設定'!T17&gt;=1),1,0)</x:f>
        <x:v>1</x:v>
      </x:c>
      <x:c r="E80" s="2" t="str">
        <x:f>IF(D80=0,"",IF(F80=0,"不足",INDEX('設定'!$B$7:$B$12,F80)))</x:f>
        <x:v>スタッフF</x:v>
      </x:c>
      <x:c r="F80" s="2" t="n">
        <x:f>IF(D80=0,"",IF(MIN(G80:L80)&gt;=1000000,0,MATCH(MIN(G80:L80),G80:L80,0)))</x:f>
        <x:v>6</x:v>
      </x:c>
      <x:c r="G80" s="2" t="n">
        <x:f>IF(OR($D80=0,INDEX('希望休'!$B$7:$AF$12,1,$B80)&lt;&gt;"可",COUNTIFS($A$7:A79,$A80,$F$7:F79,1)&gt;0,COUNTIF($F$7:F79,1)&gt;='設定'!C7,M79&gt;='設定'!D7),1000000,COUNTIF($F$7:F79,1)*100+MOD(0+19+'設定'!$F$3,6))</x:f>
        <x:v>1201</x:v>
      </x:c>
      <x:c r="H80" s="2" t="n">
        <x:f>IF(OR($D80=0,INDEX('希望休'!$B$7:$AF$12,2,$B80)&lt;&gt;"可",COUNTIFS($A$7:A79,$A80,$F$7:F79,2)&gt;0,COUNTIF($F$7:F79,2)&gt;='設定'!C8,N79&gt;='設定'!D8),1000000,COUNTIF($F$7:F79,2)*100+MOD(1+19+'設定'!$F$3,6))</x:f>
        <x:v>1202</x:v>
      </x:c>
      <x:c r="I80" s="2" t="n">
        <x:f>IF(OR($D80=0,INDEX('希望休'!$B$7:$AF$12,3,$B80)&lt;&gt;"可",COUNTIFS($A$7:A79,$A80,$F$7:F79,3)&gt;0,COUNTIF($F$7:F79,3)&gt;='設定'!C9,O79&gt;='設定'!D9),1000000,COUNTIF($F$7:F79,3)*100+MOD(2+19+'設定'!$F$3,6))</x:f>
        <x:v>1203</x:v>
      </x:c>
      <x:c r="J80" s="2" t="n">
        <x:f>IF(OR($D80=0,INDEX('希望休'!$B$7:$AF$12,4,$B80)&lt;&gt;"可",COUNTIFS($A$7:A79,$A80,$F$7:F79,4)&gt;0,COUNTIF($F$7:F79,4)&gt;='設定'!C10,P79&gt;='設定'!D10),1000000,COUNTIF($F$7:F79,4)*100+MOD(3+19+'設定'!$F$3,6))</x:f>
        <x:v>1204</x:v>
      </x:c>
      <x:c r="K80" s="2" t="n">
        <x:f>IF(OR($D80=0,INDEX('希望休'!$B$7:$AF$12,5,$B80)&lt;&gt;"可",COUNTIFS($A$7:A79,$A80,$F$7:F79,5)&gt;0,COUNTIF($F$7:F79,5)&gt;='設定'!C11,Q79&gt;='設定'!D11),1000000,COUNTIF($F$7:F79,5)*100+MOD(4+19+'設定'!$F$3,6))</x:f>
        <x:v>1205</x:v>
      </x:c>
      <x:c r="L80" s="2" t="n">
        <x:f>IF(OR($D80=0,INDEX('希望休'!$B$7:$AF$12,6,$B80)&lt;&gt;"可",COUNTIFS($A$7:A79,$A80,$F$7:F79,6)&gt;0,COUNTIF($F$7:F79,6)&gt;='設定'!C12,R79&gt;='設定'!D12),1000000,COUNTIF($F$7:F79,6)*100+MOD(5+19+'設定'!$F$3,6))</x:f>
        <x:v>1200</x:v>
      </x:c>
      <x:c r="M80" s="2" t="n">
        <x:f>IF($A80="",0,IF(COUNTIF($F$80:F80,1)&gt;0,M79+1,0))</x:f>
        <x:v>0</x:v>
      </x:c>
      <x:c r="N80" s="2" t="n">
        <x:f>IF($A80="",0,IF(COUNTIF($F$80:F80,2)&gt;0,N79+1,0))</x:f>
        <x:v>0</x:v>
      </x:c>
      <x:c r="O80" s="2" t="n">
        <x:f>IF($A80="",0,IF(COUNTIF($F$80:F80,3)&gt;0,O79+1,0))</x:f>
        <x:v>0</x:v>
      </x:c>
      <x:c r="P80" s="2" t="n">
        <x:f>IF($A80="",0,IF(COUNTIF($F$80:F80,4)&gt;0,P79+1,0))</x:f>
        <x:v>0</x:v>
      </x:c>
      <x:c r="Q80" s="2" t="n">
        <x:f>IF($A80="",0,IF(COUNTIF($F$80:F80,5)&gt;0,Q79+1,0))</x:f>
        <x:v>0</x:v>
      </x:c>
      <x:c r="R80" s="2" t="n">
        <x:f>IF($A80="",0,IF(COUNTIF($F$80:F80,6)&gt;0,R79+1,0))</x:f>
        <x:v>1</x:v>
      </x:c>
    </x:row>
    <x:row r="81" ht="24" customHeight="1">
      <x:c r="A81" s="15" t="n">
        <x:f>'設定'!T16</x:f>
        <x:v>46284</x:v>
      </x:c>
      <x:c r="B81" s="2" t="n">
        <x:f>19</x:f>
        <x:v>19</x:v>
      </x:c>
      <x:c r="C81" s="2" t="str">
        <x:f>"早"</x:f>
        <x:v>早</x:v>
      </x:c>
      <x:c r="D81" s="2" t="n">
        <x:f>IF(AND('設定'!$B$21="入力OK",'設定'!T16&lt;&gt;"",'設定'!T17&gt;=2),1,0)</x:f>
        <x:v>1</x:v>
      </x:c>
      <x:c r="E81" s="2" t="str">
        <x:f>IF(D81=0,"",IF(F81=0,"不足",INDEX('設定'!$B$7:$B$12,F81)))</x:f>
        <x:v>スタッフA</x:v>
      </x:c>
      <x:c r="F81" s="2" t="n">
        <x:f>IF(D81=0,"",IF(MIN(G81:L81)&gt;=1000000,0,MATCH(MIN(G81:L81),G81:L81,0)))</x:f>
        <x:v>1</x:v>
      </x:c>
      <x:c r="G81" s="2" t="n">
        <x:f>IF(OR($D81=0,INDEX('希望休'!$B$7:$AF$12,1,$B81)&lt;&gt;"可",COUNTIFS($A$7:A80,$A81,$F$7:F80,1)&gt;0,COUNTIF($F$7:F80,1)&gt;='設定'!C7,M79&gt;='設定'!D7),1000000,COUNTIF($F$7:F80,1)*100+MOD(0+19+'設定'!$F$3,6))</x:f>
        <x:v>1201</x:v>
      </x:c>
      <x:c r="H81" s="2" t="n">
        <x:f>IF(OR($D81=0,INDEX('希望休'!$B$7:$AF$12,2,$B81)&lt;&gt;"可",COUNTIFS($A$7:A80,$A81,$F$7:F80,2)&gt;0,COUNTIF($F$7:F80,2)&gt;='設定'!C8,N79&gt;='設定'!D8),1000000,COUNTIF($F$7:F80,2)*100+MOD(1+19+'設定'!$F$3,6))</x:f>
        <x:v>1202</x:v>
      </x:c>
      <x:c r="I81" s="2" t="n">
        <x:f>IF(OR($D81=0,INDEX('希望休'!$B$7:$AF$12,3,$B81)&lt;&gt;"可",COUNTIFS($A$7:A80,$A81,$F$7:F80,3)&gt;0,COUNTIF($F$7:F80,3)&gt;='設定'!C9,O79&gt;='設定'!D9),1000000,COUNTIF($F$7:F80,3)*100+MOD(2+19+'設定'!$F$3,6))</x:f>
        <x:v>1203</x:v>
      </x:c>
      <x:c r="J81" s="2" t="n">
        <x:f>IF(OR($D81=0,INDEX('希望休'!$B$7:$AF$12,4,$B81)&lt;&gt;"可",COUNTIFS($A$7:A80,$A81,$F$7:F80,4)&gt;0,COUNTIF($F$7:F80,4)&gt;='設定'!C10,P79&gt;='設定'!D10),1000000,COUNTIF($F$7:F80,4)*100+MOD(3+19+'設定'!$F$3,6))</x:f>
        <x:v>1204</x:v>
      </x:c>
      <x:c r="K81" s="2" t="n">
        <x:f>IF(OR($D81=0,INDEX('希望休'!$B$7:$AF$12,5,$B81)&lt;&gt;"可",COUNTIFS($A$7:A80,$A81,$F$7:F80,5)&gt;0,COUNTIF($F$7:F80,5)&gt;='設定'!C11,Q79&gt;='設定'!D11),1000000,COUNTIF($F$7:F80,5)*100+MOD(4+19+'設定'!$F$3,6))</x:f>
        <x:v>1205</x:v>
      </x:c>
      <x:c r="L81" s="2" t="n">
        <x:f>IF(OR($D81=0,INDEX('希望休'!$B$7:$AF$12,6,$B81)&lt;&gt;"可",COUNTIFS($A$7:A80,$A81,$F$7:F80,6)&gt;0,COUNTIF($F$7:F80,6)&gt;='設定'!C12,R79&gt;='設定'!D12),1000000,COUNTIF($F$7:F80,6)*100+MOD(5+19+'設定'!$F$3,6))</x:f>
        <x:v>1000000</x:v>
      </x:c>
      <x:c r="M81" s="2" t="n">
        <x:f>IF($A81="",0,IF(COUNTIF($F$80:F81,1)&gt;0,M79+1,0))</x:f>
        <x:v>2</x:v>
      </x:c>
      <x:c r="N81" s="2" t="n">
        <x:f>IF($A81="",0,IF(COUNTIF($F$80:F81,2)&gt;0,N79+1,0))</x:f>
        <x:v>0</x:v>
      </x:c>
      <x:c r="O81" s="2" t="n">
        <x:f>IF($A81="",0,IF(COUNTIF($F$80:F81,3)&gt;0,O79+1,0))</x:f>
        <x:v>0</x:v>
      </x:c>
      <x:c r="P81" s="2" t="n">
        <x:f>IF($A81="",0,IF(COUNTIF($F$80:F81,4)&gt;0,P79+1,0))</x:f>
        <x:v>0</x:v>
      </x:c>
      <x:c r="Q81" s="2" t="n">
        <x:f>IF($A81="",0,IF(COUNTIF($F$80:F81,5)&gt;0,Q79+1,0))</x:f>
        <x:v>0</x:v>
      </x:c>
      <x:c r="R81" s="2" t="n">
        <x:f>IF($A81="",0,IF(COUNTIF($F$80:F81,6)&gt;0,R79+1,0))</x:f>
        <x:v>1</x:v>
      </x:c>
    </x:row>
    <x:row r="82" ht="24" customHeight="1">
      <x:c r="A82" s="15" t="n">
        <x:f>'設定'!T16</x:f>
        <x:v>46284</x:v>
      </x:c>
      <x:c r="B82" s="2" t="n">
        <x:f>19</x:f>
        <x:v>19</x:v>
      </x:c>
      <x:c r="C82" s="2" t="str">
        <x:f>"遅"</x:f>
        <x:v>遅</x:v>
      </x:c>
      <x:c r="D82" s="2" t="n">
        <x:f>IF(AND('設定'!$B$21="入力OK",'設定'!T16&lt;&gt;"",'設定'!T18&gt;=1),1,0)</x:f>
        <x:v>1</x:v>
      </x:c>
      <x:c r="E82" s="2" t="str">
        <x:f>IF(D82=0,"",IF(F82=0,"不足",INDEX('設定'!$B$7:$B$12,F82)))</x:f>
        <x:v>スタッフB</x:v>
      </x:c>
      <x:c r="F82" s="2" t="n">
        <x:f>IF(D82=0,"",IF(MIN(G82:L82)&gt;=1000000,0,MATCH(MIN(G82:L82),G82:L82,0)))</x:f>
        <x:v>2</x:v>
      </x:c>
      <x:c r="G82" s="2" t="n">
        <x:f>IF(OR($D82=0,INDEX('希望休'!$B$7:$AF$12,1,$B82)&lt;&gt;"可",COUNTIFS($A$7:A81,$A82,$F$7:F81,1)&gt;0,COUNTIF($F$7:F81,1)&gt;='設定'!C7,M79&gt;='設定'!D7),1000000,COUNTIF($F$7:F81,1)*100+MOD(0+19+'設定'!$F$3,6))</x:f>
        <x:v>1000000</x:v>
      </x:c>
      <x:c r="H82" s="2" t="n">
        <x:f>IF(OR($D82=0,INDEX('希望休'!$B$7:$AF$12,2,$B82)&lt;&gt;"可",COUNTIFS($A$7:A81,$A82,$F$7:F81,2)&gt;0,COUNTIF($F$7:F81,2)&gt;='設定'!C8,N79&gt;='設定'!D8),1000000,COUNTIF($F$7:F81,2)*100+MOD(1+19+'設定'!$F$3,6))</x:f>
        <x:v>1202</x:v>
      </x:c>
      <x:c r="I82" s="2" t="n">
        <x:f>IF(OR($D82=0,INDEX('希望休'!$B$7:$AF$12,3,$B82)&lt;&gt;"可",COUNTIFS($A$7:A81,$A82,$F$7:F81,3)&gt;0,COUNTIF($F$7:F81,3)&gt;='設定'!C9,O79&gt;='設定'!D9),1000000,COUNTIF($F$7:F81,3)*100+MOD(2+19+'設定'!$F$3,6))</x:f>
        <x:v>1203</x:v>
      </x:c>
      <x:c r="J82" s="2" t="n">
        <x:f>IF(OR($D82=0,INDEX('希望休'!$B$7:$AF$12,4,$B82)&lt;&gt;"可",COUNTIFS($A$7:A81,$A82,$F$7:F81,4)&gt;0,COUNTIF($F$7:F81,4)&gt;='設定'!C10,P79&gt;='設定'!D10),1000000,COUNTIF($F$7:F81,4)*100+MOD(3+19+'設定'!$F$3,6))</x:f>
        <x:v>1204</x:v>
      </x:c>
      <x:c r="K82" s="2" t="n">
        <x:f>IF(OR($D82=0,INDEX('希望休'!$B$7:$AF$12,5,$B82)&lt;&gt;"可",COUNTIFS($A$7:A81,$A82,$F$7:F81,5)&gt;0,COUNTIF($F$7:F81,5)&gt;='設定'!C11,Q79&gt;='設定'!D11),1000000,COUNTIF($F$7:F81,5)*100+MOD(4+19+'設定'!$F$3,6))</x:f>
        <x:v>1205</x:v>
      </x:c>
      <x:c r="L82" s="2" t="n">
        <x:f>IF(OR($D82=0,INDEX('希望休'!$B$7:$AF$12,6,$B82)&lt;&gt;"可",COUNTIFS($A$7:A81,$A82,$F$7:F81,6)&gt;0,COUNTIF($F$7:F81,6)&gt;='設定'!C12,R79&gt;='設定'!D12),1000000,COUNTIF($F$7:F81,6)*100+MOD(5+19+'設定'!$F$3,6))</x:f>
        <x:v>1000000</x:v>
      </x:c>
      <x:c r="M82" s="2" t="n">
        <x:f>IF($A82="",0,IF(COUNTIF($F$80:F82,1)&gt;0,M79+1,0))</x:f>
        <x:v>2</x:v>
      </x:c>
      <x:c r="N82" s="2" t="n">
        <x:f>IF($A82="",0,IF(COUNTIF($F$80:F82,2)&gt;0,N79+1,0))</x:f>
        <x:v>3</x:v>
      </x:c>
      <x:c r="O82" s="2" t="n">
        <x:f>IF($A82="",0,IF(COUNTIF($F$80:F82,3)&gt;0,O79+1,0))</x:f>
        <x:v>0</x:v>
      </x:c>
      <x:c r="P82" s="2" t="n">
        <x:f>IF($A82="",0,IF(COUNTIF($F$80:F82,4)&gt;0,P79+1,0))</x:f>
        <x:v>0</x:v>
      </x:c>
      <x:c r="Q82" s="2" t="n">
        <x:f>IF($A82="",0,IF(COUNTIF($F$80:F82,5)&gt;0,Q79+1,0))</x:f>
        <x:v>0</x:v>
      </x:c>
      <x:c r="R82" s="2" t="n">
        <x:f>IF($A82="",0,IF(COUNTIF($F$80:F82,6)&gt;0,R79+1,0))</x:f>
        <x:v>1</x:v>
      </x:c>
    </x:row>
    <x:row r="83" ht="24" customHeight="1">
      <x:c r="A83" s="15" t="n">
        <x:f>'設定'!T16</x:f>
        <x:v>46284</x:v>
      </x:c>
      <x:c r="B83" s="2" t="n">
        <x:f>19</x:f>
        <x:v>19</x:v>
      </x:c>
      <x:c r="C83" s="2" t="str">
        <x:f>"遅"</x:f>
        <x:v>遅</x:v>
      </x:c>
      <x:c r="D83" s="2" t="n">
        <x:f>IF(AND('設定'!$B$21="入力OK",'設定'!T16&lt;&gt;"",'設定'!T18&gt;=2),1,0)</x:f>
        <x:v>1</x:v>
      </x:c>
      <x:c r="E83" s="2" t="str">
        <x:f>IF(D83=0,"",IF(F83=0,"不足",INDEX('設定'!$B$7:$B$12,F83)))</x:f>
        <x:v>スタッフC</x:v>
      </x:c>
      <x:c r="F83" s="2" t="n">
        <x:f>IF(D83=0,"",IF(MIN(G83:L83)&gt;=1000000,0,MATCH(MIN(G83:L83),G83:L83,0)))</x:f>
        <x:v>3</x:v>
      </x:c>
      <x:c r="G83" s="2" t="n">
        <x:f>IF(OR($D83=0,INDEX('希望休'!$B$7:$AF$12,1,$B83)&lt;&gt;"可",COUNTIFS($A$7:A82,$A83,$F$7:F82,1)&gt;0,COUNTIF($F$7:F82,1)&gt;='設定'!C7,M79&gt;='設定'!D7),1000000,COUNTIF($F$7:F82,1)*100+MOD(0+19+'設定'!$F$3,6))</x:f>
        <x:v>1000000</x:v>
      </x:c>
      <x:c r="H83" s="2" t="n">
        <x:f>IF(OR($D83=0,INDEX('希望休'!$B$7:$AF$12,2,$B83)&lt;&gt;"可",COUNTIFS($A$7:A82,$A83,$F$7:F82,2)&gt;0,COUNTIF($F$7:F82,2)&gt;='設定'!C8,N79&gt;='設定'!D8),1000000,COUNTIF($F$7:F82,2)*100+MOD(1+19+'設定'!$F$3,6))</x:f>
        <x:v>1000000</x:v>
      </x:c>
      <x:c r="I83" s="2" t="n">
        <x:f>IF(OR($D83=0,INDEX('希望休'!$B$7:$AF$12,3,$B83)&lt;&gt;"可",COUNTIFS($A$7:A82,$A83,$F$7:F82,3)&gt;0,COUNTIF($F$7:F82,3)&gt;='設定'!C9,O79&gt;='設定'!D9),1000000,COUNTIF($F$7:F82,3)*100+MOD(2+19+'設定'!$F$3,6))</x:f>
        <x:v>1203</x:v>
      </x:c>
      <x:c r="J83" s="2" t="n">
        <x:f>IF(OR($D83=0,INDEX('希望休'!$B$7:$AF$12,4,$B83)&lt;&gt;"可",COUNTIFS($A$7:A82,$A83,$F$7:F82,4)&gt;0,COUNTIF($F$7:F82,4)&gt;='設定'!C10,P79&gt;='設定'!D10),1000000,COUNTIF($F$7:F82,4)*100+MOD(3+19+'設定'!$F$3,6))</x:f>
        <x:v>1204</x:v>
      </x:c>
      <x:c r="K83" s="2" t="n">
        <x:f>IF(OR($D83=0,INDEX('希望休'!$B$7:$AF$12,5,$B83)&lt;&gt;"可",COUNTIFS($A$7:A82,$A83,$F$7:F82,5)&gt;0,COUNTIF($F$7:F82,5)&gt;='設定'!C11,Q79&gt;='設定'!D11),1000000,COUNTIF($F$7:F82,5)*100+MOD(4+19+'設定'!$F$3,6))</x:f>
        <x:v>1205</x:v>
      </x:c>
      <x:c r="L83" s="2" t="n">
        <x:f>IF(OR($D83=0,INDEX('希望休'!$B$7:$AF$12,6,$B83)&lt;&gt;"可",COUNTIFS($A$7:A82,$A83,$F$7:F82,6)&gt;0,COUNTIF($F$7:F82,6)&gt;='設定'!C12,R79&gt;='設定'!D12),1000000,COUNTIF($F$7:F82,6)*100+MOD(5+19+'設定'!$F$3,6))</x:f>
        <x:v>1000000</x:v>
      </x:c>
      <x:c r="M83" s="2" t="n">
        <x:f>IF($A83="",0,IF(COUNTIF($F$80:F83,1)&gt;0,M79+1,0))</x:f>
        <x:v>2</x:v>
      </x:c>
      <x:c r="N83" s="2" t="n">
        <x:f>IF($A83="",0,IF(COUNTIF($F$80:F83,2)&gt;0,N79+1,0))</x:f>
        <x:v>3</x:v>
      </x:c>
      <x:c r="O83" s="2" t="n">
        <x:f>IF($A83="",0,IF(COUNTIF($F$80:F83,3)&gt;0,O79+1,0))</x:f>
        <x:v>1</x:v>
      </x:c>
      <x:c r="P83" s="2" t="n">
        <x:f>IF($A83="",0,IF(COUNTIF($F$80:F83,4)&gt;0,P79+1,0))</x:f>
        <x:v>0</x:v>
      </x:c>
      <x:c r="Q83" s="2" t="n">
        <x:f>IF($A83="",0,IF(COUNTIF($F$80:F83,5)&gt;0,Q79+1,0))</x:f>
        <x:v>0</x:v>
      </x:c>
      <x:c r="R83" s="2" t="n">
        <x:f>IF($A83="",0,IF(COUNTIF($F$80:F83,6)&gt;0,R79+1,0))</x:f>
        <x:v>1</x:v>
      </x:c>
    </x:row>
    <x:row r="84" ht="24" customHeight="1">
      <x:c r="A84" s="15" t="n">
        <x:f>'設定'!U16</x:f>
        <x:v>46285</x:v>
      </x:c>
      <x:c r="B84" s="2" t="n">
        <x:f>20</x:f>
        <x:v>20</x:v>
      </x:c>
      <x:c r="C84" s="2" t="str">
        <x:f>"早"</x:f>
        <x:v>早</x:v>
      </x:c>
      <x:c r="D84" s="2" t="n">
        <x:f>IF(AND('設定'!$B$21="入力OK",'設定'!U16&lt;&gt;"",'設定'!U17&gt;=1),1,0)</x:f>
        <x:v>1</x:v>
      </x:c>
      <x:c r="E84" s="2" t="str">
        <x:f>IF(D84=0,"",IF(F84=0,"不足",INDEX('設定'!$B$7:$B$12,F84)))</x:f>
        <x:v>スタッフE</x:v>
      </x:c>
      <x:c r="F84" s="2" t="n">
        <x:f>IF(D84=0,"",IF(MIN(G84:L84)&gt;=1000000,0,MATCH(MIN(G84:L84),G84:L84,0)))</x:f>
        <x:v>5</x:v>
      </x:c>
      <x:c r="G84" s="2" t="n">
        <x:f>IF(OR($D84=0,INDEX('希望休'!$B$7:$AF$12,1,$B84)&lt;&gt;"可",COUNTIFS($A$7:A83,$A84,$F$7:F83,1)&gt;0,COUNTIF($F$7:F83,1)&gt;='設定'!C7,M83&gt;='設定'!D7),1000000,COUNTIF($F$7:F83,1)*100+MOD(0+20+'設定'!$F$3,6))</x:f>
        <x:v>1302</x:v>
      </x:c>
      <x:c r="H84" s="2" t="n">
        <x:f>IF(OR($D84=0,INDEX('希望休'!$B$7:$AF$12,2,$B84)&lt;&gt;"可",COUNTIFS($A$7:A83,$A84,$F$7:F83,2)&gt;0,COUNTIF($F$7:F83,2)&gt;='設定'!C8,N83&gt;='設定'!D8),1000000,COUNTIF($F$7:F83,2)*100+MOD(1+20+'設定'!$F$3,6))</x:f>
        <x:v>1303</x:v>
      </x:c>
      <x:c r="I84" s="2" t="n">
        <x:f>IF(OR($D84=0,INDEX('希望休'!$B$7:$AF$12,3,$B84)&lt;&gt;"可",COUNTIFS($A$7:A83,$A84,$F$7:F83,3)&gt;0,COUNTIF($F$7:F83,3)&gt;='設定'!C9,O83&gt;='設定'!D9),1000000,COUNTIF($F$7:F83,3)*100+MOD(2+20+'設定'!$F$3,6))</x:f>
        <x:v>1304</x:v>
      </x:c>
      <x:c r="J84" s="2" t="n">
        <x:f>IF(OR($D84=0,INDEX('希望休'!$B$7:$AF$12,4,$B84)&lt;&gt;"可",COUNTIFS($A$7:A83,$A84,$F$7:F83,4)&gt;0,COUNTIF($F$7:F83,4)&gt;='設定'!C10,P83&gt;='設定'!D10),1000000,COUNTIF($F$7:F83,4)*100+MOD(3+20+'設定'!$F$3,6))</x:f>
        <x:v>1205</x:v>
      </x:c>
      <x:c r="K84" s="2" t="n">
        <x:f>IF(OR($D84=0,INDEX('希望休'!$B$7:$AF$12,5,$B84)&lt;&gt;"可",COUNTIFS($A$7:A83,$A84,$F$7:F83,5)&gt;0,COUNTIF($F$7:F83,5)&gt;='設定'!C11,Q83&gt;='設定'!D11),1000000,COUNTIF($F$7:F83,5)*100+MOD(4+20+'設定'!$F$3,6))</x:f>
        <x:v>1200</x:v>
      </x:c>
      <x:c r="L84" s="2" t="n">
        <x:f>IF(OR($D84=0,INDEX('希望休'!$B$7:$AF$12,6,$B84)&lt;&gt;"可",COUNTIFS($A$7:A83,$A84,$F$7:F83,6)&gt;0,COUNTIF($F$7:F83,6)&gt;='設定'!C12,R83&gt;='設定'!D12),1000000,COUNTIF($F$7:F83,6)*100+MOD(5+20+'設定'!$F$3,6))</x:f>
        <x:v>1301</x:v>
      </x:c>
      <x:c r="M84" s="2" t="n">
        <x:f>IF($A84="",0,IF(COUNTIF($F$84:F84,1)&gt;0,M83+1,0))</x:f>
        <x:v>0</x:v>
      </x:c>
      <x:c r="N84" s="2" t="n">
        <x:f>IF($A84="",0,IF(COUNTIF($F$84:F84,2)&gt;0,N83+1,0))</x:f>
        <x:v>0</x:v>
      </x:c>
      <x:c r="O84" s="2" t="n">
        <x:f>IF($A84="",0,IF(COUNTIF($F$84:F84,3)&gt;0,O83+1,0))</x:f>
        <x:v>0</x:v>
      </x:c>
      <x:c r="P84" s="2" t="n">
        <x:f>IF($A84="",0,IF(COUNTIF($F$84:F84,4)&gt;0,P83+1,0))</x:f>
        <x:v>0</x:v>
      </x:c>
      <x:c r="Q84" s="2" t="n">
        <x:f>IF($A84="",0,IF(COUNTIF($F$84:F84,5)&gt;0,Q83+1,0))</x:f>
        <x:v>1</x:v>
      </x:c>
      <x:c r="R84" s="2" t="n">
        <x:f>IF($A84="",0,IF(COUNTIF($F$84:F84,6)&gt;0,R83+1,0))</x:f>
        <x:v>0</x:v>
      </x:c>
    </x:row>
    <x:row r="85" ht="24" customHeight="1">
      <x:c r="A85" s="15" t="n">
        <x:f>'設定'!U16</x:f>
        <x:v>46285</x:v>
      </x:c>
      <x:c r="B85" s="2" t="n">
        <x:f>20</x:f>
        <x:v>20</x:v>
      </x:c>
      <x:c r="C85" s="2" t="str">
        <x:f>"早"</x:f>
        <x:v>早</x:v>
      </x:c>
      <x:c r="D85" s="2" t="n">
        <x:f>IF(AND('設定'!$B$21="入力OK",'設定'!U16&lt;&gt;"",'設定'!U17&gt;=2),1,0)</x:f>
        <x:v>1</x:v>
      </x:c>
      <x:c r="E85" s="2" t="str">
        <x:f>IF(D85=0,"",IF(F85=0,"不足",INDEX('設定'!$B$7:$B$12,F85)))</x:f>
        <x:v>スタッフD</x:v>
      </x:c>
      <x:c r="F85" s="2" t="n">
        <x:f>IF(D85=0,"",IF(MIN(G85:L85)&gt;=1000000,0,MATCH(MIN(G85:L85),G85:L85,0)))</x:f>
        <x:v>4</x:v>
      </x:c>
      <x:c r="G85" s="2" t="n">
        <x:f>IF(OR($D85=0,INDEX('希望休'!$B$7:$AF$12,1,$B85)&lt;&gt;"可",COUNTIFS($A$7:A84,$A85,$F$7:F84,1)&gt;0,COUNTIF($F$7:F84,1)&gt;='設定'!C7,M83&gt;='設定'!D7),1000000,COUNTIF($F$7:F84,1)*100+MOD(0+20+'設定'!$F$3,6))</x:f>
        <x:v>1302</x:v>
      </x:c>
      <x:c r="H85" s="2" t="n">
        <x:f>IF(OR($D85=0,INDEX('希望休'!$B$7:$AF$12,2,$B85)&lt;&gt;"可",COUNTIFS($A$7:A84,$A85,$F$7:F84,2)&gt;0,COUNTIF($F$7:F84,2)&gt;='設定'!C8,N83&gt;='設定'!D8),1000000,COUNTIF($F$7:F84,2)*100+MOD(1+20+'設定'!$F$3,6))</x:f>
        <x:v>1303</x:v>
      </x:c>
      <x:c r="I85" s="2" t="n">
        <x:f>IF(OR($D85=0,INDEX('希望休'!$B$7:$AF$12,3,$B85)&lt;&gt;"可",COUNTIFS($A$7:A84,$A85,$F$7:F84,3)&gt;0,COUNTIF($F$7:F84,3)&gt;='設定'!C9,O83&gt;='設定'!D9),1000000,COUNTIF($F$7:F84,3)*100+MOD(2+20+'設定'!$F$3,6))</x:f>
        <x:v>1304</x:v>
      </x:c>
      <x:c r="J85" s="2" t="n">
        <x:f>IF(OR($D85=0,INDEX('希望休'!$B$7:$AF$12,4,$B85)&lt;&gt;"可",COUNTIFS($A$7:A84,$A85,$F$7:F84,4)&gt;0,COUNTIF($F$7:F84,4)&gt;='設定'!C10,P83&gt;='設定'!D10),1000000,COUNTIF($F$7:F84,4)*100+MOD(3+20+'設定'!$F$3,6))</x:f>
        <x:v>1205</x:v>
      </x:c>
      <x:c r="K85" s="2" t="n">
        <x:f>IF(OR($D85=0,INDEX('希望休'!$B$7:$AF$12,5,$B85)&lt;&gt;"可",COUNTIFS($A$7:A84,$A85,$F$7:F84,5)&gt;0,COUNTIF($F$7:F84,5)&gt;='設定'!C11,Q83&gt;='設定'!D11),1000000,COUNTIF($F$7:F84,5)*100+MOD(4+20+'設定'!$F$3,6))</x:f>
        <x:v>1000000</x:v>
      </x:c>
      <x:c r="L85" s="2" t="n">
        <x:f>IF(OR($D85=0,INDEX('希望休'!$B$7:$AF$12,6,$B85)&lt;&gt;"可",COUNTIFS($A$7:A84,$A85,$F$7:F84,6)&gt;0,COUNTIF($F$7:F84,6)&gt;='設定'!C12,R83&gt;='設定'!D12),1000000,COUNTIF($F$7:F84,6)*100+MOD(5+20+'設定'!$F$3,6))</x:f>
        <x:v>1301</x:v>
      </x:c>
      <x:c r="M85" s="2" t="n">
        <x:f>IF($A85="",0,IF(COUNTIF($F$84:F85,1)&gt;0,M83+1,0))</x:f>
        <x:v>0</x:v>
      </x:c>
      <x:c r="N85" s="2" t="n">
        <x:f>IF($A85="",0,IF(COUNTIF($F$84:F85,2)&gt;0,N83+1,0))</x:f>
        <x:v>0</x:v>
      </x:c>
      <x:c r="O85" s="2" t="n">
        <x:f>IF($A85="",0,IF(COUNTIF($F$84:F85,3)&gt;0,O83+1,0))</x:f>
        <x:v>0</x:v>
      </x:c>
      <x:c r="P85" s="2" t="n">
        <x:f>IF($A85="",0,IF(COUNTIF($F$84:F85,4)&gt;0,P83+1,0))</x:f>
        <x:v>1</x:v>
      </x:c>
      <x:c r="Q85" s="2" t="n">
        <x:f>IF($A85="",0,IF(COUNTIF($F$84:F85,5)&gt;0,Q83+1,0))</x:f>
        <x:v>1</x:v>
      </x:c>
      <x:c r="R85" s="2" t="n">
        <x:f>IF($A85="",0,IF(COUNTIF($F$84:F85,6)&gt;0,R83+1,0))</x:f>
        <x:v>0</x:v>
      </x:c>
    </x:row>
    <x:row r="86" ht="24" customHeight="1">
      <x:c r="A86" s="15" t="n">
        <x:f>'設定'!U16</x:f>
        <x:v>46285</x:v>
      </x:c>
      <x:c r="B86" s="2" t="n">
        <x:f>20</x:f>
        <x:v>20</x:v>
      </x:c>
      <x:c r="C86" s="2" t="str">
        <x:f>"遅"</x:f>
        <x:v>遅</x:v>
      </x:c>
      <x:c r="D86" s="2" t="n">
        <x:f>IF(AND('設定'!$B$21="入力OK",'設定'!U16&lt;&gt;"",'設定'!U18&gt;=1),1,0)</x:f>
        <x:v>1</x:v>
      </x:c>
      <x:c r="E86" s="2" t="str">
        <x:f>IF(D86=0,"",IF(F86=0,"不足",INDEX('設定'!$B$7:$B$12,F86)))</x:f>
        <x:v>スタッフF</x:v>
      </x:c>
      <x:c r="F86" s="2" t="n">
        <x:f>IF(D86=0,"",IF(MIN(G86:L86)&gt;=1000000,0,MATCH(MIN(G86:L86),G86:L86,0)))</x:f>
        <x:v>6</x:v>
      </x:c>
      <x:c r="G86" s="2" t="n">
        <x:f>IF(OR($D86=0,INDEX('希望休'!$B$7:$AF$12,1,$B86)&lt;&gt;"可",COUNTIFS($A$7:A85,$A86,$F$7:F85,1)&gt;0,COUNTIF($F$7:F85,1)&gt;='設定'!C7,M83&gt;='設定'!D7),1000000,COUNTIF($F$7:F85,1)*100+MOD(0+20+'設定'!$F$3,6))</x:f>
        <x:v>1302</x:v>
      </x:c>
      <x:c r="H86" s="2" t="n">
        <x:f>IF(OR($D86=0,INDEX('希望休'!$B$7:$AF$12,2,$B86)&lt;&gt;"可",COUNTIFS($A$7:A85,$A86,$F$7:F85,2)&gt;0,COUNTIF($F$7:F85,2)&gt;='設定'!C8,N83&gt;='設定'!D8),1000000,COUNTIF($F$7:F85,2)*100+MOD(1+20+'設定'!$F$3,6))</x:f>
        <x:v>1303</x:v>
      </x:c>
      <x:c r="I86" s="2" t="n">
        <x:f>IF(OR($D86=0,INDEX('希望休'!$B$7:$AF$12,3,$B86)&lt;&gt;"可",COUNTIFS($A$7:A85,$A86,$F$7:F85,3)&gt;0,COUNTIF($F$7:F85,3)&gt;='設定'!C9,O83&gt;='設定'!D9),1000000,COUNTIF($F$7:F85,3)*100+MOD(2+20+'設定'!$F$3,6))</x:f>
        <x:v>1304</x:v>
      </x:c>
      <x:c r="J86" s="2" t="n">
        <x:f>IF(OR($D86=0,INDEX('希望休'!$B$7:$AF$12,4,$B86)&lt;&gt;"可",COUNTIFS($A$7:A85,$A86,$F$7:F85,4)&gt;0,COUNTIF($F$7:F85,4)&gt;='設定'!C10,P83&gt;='設定'!D10),1000000,COUNTIF($F$7:F85,4)*100+MOD(3+20+'設定'!$F$3,6))</x:f>
        <x:v>1000000</x:v>
      </x:c>
      <x:c r="K86" s="2" t="n">
        <x:f>IF(OR($D86=0,INDEX('希望休'!$B$7:$AF$12,5,$B86)&lt;&gt;"可",COUNTIFS($A$7:A85,$A86,$F$7:F85,5)&gt;0,COUNTIF($F$7:F85,5)&gt;='設定'!C11,Q83&gt;='設定'!D11),1000000,COUNTIF($F$7:F85,5)*100+MOD(4+20+'設定'!$F$3,6))</x:f>
        <x:v>1000000</x:v>
      </x:c>
      <x:c r="L86" s="2" t="n">
        <x:f>IF(OR($D86=0,INDEX('希望休'!$B$7:$AF$12,6,$B86)&lt;&gt;"可",COUNTIFS($A$7:A85,$A86,$F$7:F85,6)&gt;0,COUNTIF($F$7:F85,6)&gt;='設定'!C12,R83&gt;='設定'!D12),1000000,COUNTIF($F$7:F85,6)*100+MOD(5+20+'設定'!$F$3,6))</x:f>
        <x:v>1301</x:v>
      </x:c>
      <x:c r="M86" s="2" t="n">
        <x:f>IF($A86="",0,IF(COUNTIF($F$84:F86,1)&gt;0,M83+1,0))</x:f>
        <x:v>0</x:v>
      </x:c>
      <x:c r="N86" s="2" t="n">
        <x:f>IF($A86="",0,IF(COUNTIF($F$84:F86,2)&gt;0,N83+1,0))</x:f>
        <x:v>0</x:v>
      </x:c>
      <x:c r="O86" s="2" t="n">
        <x:f>IF($A86="",0,IF(COUNTIF($F$84:F86,3)&gt;0,O83+1,0))</x:f>
        <x:v>0</x:v>
      </x:c>
      <x:c r="P86" s="2" t="n">
        <x:f>IF($A86="",0,IF(COUNTIF($F$84:F86,4)&gt;0,P83+1,0))</x:f>
        <x:v>1</x:v>
      </x:c>
      <x:c r="Q86" s="2" t="n">
        <x:f>IF($A86="",0,IF(COUNTIF($F$84:F86,5)&gt;0,Q83+1,0))</x:f>
        <x:v>1</x:v>
      </x:c>
      <x:c r="R86" s="2" t="n">
        <x:f>IF($A86="",0,IF(COUNTIF($F$84:F86,6)&gt;0,R83+1,0))</x:f>
        <x:v>2</x:v>
      </x:c>
    </x:row>
    <x:row r="87" ht="24" customHeight="1">
      <x:c r="A87" s="15" t="n">
        <x:f>'設定'!U16</x:f>
        <x:v>46285</x:v>
      </x:c>
      <x:c r="B87" s="2" t="n">
        <x:f>20</x:f>
        <x:v>20</x:v>
      </x:c>
      <x:c r="C87" s="2" t="str">
        <x:f>"遅"</x:f>
        <x:v>遅</x:v>
      </x:c>
      <x:c r="D87" s="2" t="n">
        <x:f>IF(AND('設定'!$B$21="入力OK",'設定'!U16&lt;&gt;"",'設定'!U18&gt;=2),1,0)</x:f>
        <x:v>1</x:v>
      </x:c>
      <x:c r="E87" s="2" t="str">
        <x:f>IF(D87=0,"",IF(F87=0,"不足",INDEX('設定'!$B$7:$B$12,F87)))</x:f>
        <x:v>スタッフA</x:v>
      </x:c>
      <x:c r="F87" s="2" t="n">
        <x:f>IF(D87=0,"",IF(MIN(G87:L87)&gt;=1000000,0,MATCH(MIN(G87:L87),G87:L87,0)))</x:f>
        <x:v>1</x:v>
      </x:c>
      <x:c r="G87" s="2" t="n">
        <x:f>IF(OR($D87=0,INDEX('希望休'!$B$7:$AF$12,1,$B87)&lt;&gt;"可",COUNTIFS($A$7:A86,$A87,$F$7:F86,1)&gt;0,COUNTIF($F$7:F86,1)&gt;='設定'!C7,M83&gt;='設定'!D7),1000000,COUNTIF($F$7:F86,1)*100+MOD(0+20+'設定'!$F$3,6))</x:f>
        <x:v>1302</x:v>
      </x:c>
      <x:c r="H87" s="2" t="n">
        <x:f>IF(OR($D87=0,INDEX('希望休'!$B$7:$AF$12,2,$B87)&lt;&gt;"可",COUNTIFS($A$7:A86,$A87,$F$7:F86,2)&gt;0,COUNTIF($F$7:F86,2)&gt;='設定'!C8,N83&gt;='設定'!D8),1000000,COUNTIF($F$7:F86,2)*100+MOD(1+20+'設定'!$F$3,6))</x:f>
        <x:v>1303</x:v>
      </x:c>
      <x:c r="I87" s="2" t="n">
        <x:f>IF(OR($D87=0,INDEX('希望休'!$B$7:$AF$12,3,$B87)&lt;&gt;"可",COUNTIFS($A$7:A86,$A87,$F$7:F86,3)&gt;0,COUNTIF($F$7:F86,3)&gt;='設定'!C9,O83&gt;='設定'!D9),1000000,COUNTIF($F$7:F86,3)*100+MOD(2+20+'設定'!$F$3,6))</x:f>
        <x:v>1304</x:v>
      </x:c>
      <x:c r="J87" s="2" t="n">
        <x:f>IF(OR($D87=0,INDEX('希望休'!$B$7:$AF$12,4,$B87)&lt;&gt;"可",COUNTIFS($A$7:A86,$A87,$F$7:F86,4)&gt;0,COUNTIF($F$7:F86,4)&gt;='設定'!C10,P83&gt;='設定'!D10),1000000,COUNTIF($F$7:F86,4)*100+MOD(3+20+'設定'!$F$3,6))</x:f>
        <x:v>1000000</x:v>
      </x:c>
      <x:c r="K87" s="2" t="n">
        <x:f>IF(OR($D87=0,INDEX('希望休'!$B$7:$AF$12,5,$B87)&lt;&gt;"可",COUNTIFS($A$7:A86,$A87,$F$7:F86,5)&gt;0,COUNTIF($F$7:F86,5)&gt;='設定'!C11,Q83&gt;='設定'!D11),1000000,COUNTIF($F$7:F86,5)*100+MOD(4+20+'設定'!$F$3,6))</x:f>
        <x:v>1000000</x:v>
      </x:c>
      <x:c r="L87" s="2" t="n">
        <x:f>IF(OR($D87=0,INDEX('希望休'!$B$7:$AF$12,6,$B87)&lt;&gt;"可",COUNTIFS($A$7:A86,$A87,$F$7:F86,6)&gt;0,COUNTIF($F$7:F86,6)&gt;='設定'!C12,R83&gt;='設定'!D12),1000000,COUNTIF($F$7:F86,6)*100+MOD(5+20+'設定'!$F$3,6))</x:f>
        <x:v>1000000</x:v>
      </x:c>
      <x:c r="M87" s="2" t="n">
        <x:f>IF($A87="",0,IF(COUNTIF($F$84:F87,1)&gt;0,M83+1,0))</x:f>
        <x:v>3</x:v>
      </x:c>
      <x:c r="N87" s="2" t="n">
        <x:f>IF($A87="",0,IF(COUNTIF($F$84:F87,2)&gt;0,N83+1,0))</x:f>
        <x:v>0</x:v>
      </x:c>
      <x:c r="O87" s="2" t="n">
        <x:f>IF($A87="",0,IF(COUNTIF($F$84:F87,3)&gt;0,O83+1,0))</x:f>
        <x:v>0</x:v>
      </x:c>
      <x:c r="P87" s="2" t="n">
        <x:f>IF($A87="",0,IF(COUNTIF($F$84:F87,4)&gt;0,P83+1,0))</x:f>
        <x:v>1</x:v>
      </x:c>
      <x:c r="Q87" s="2" t="n">
        <x:f>IF($A87="",0,IF(COUNTIF($F$84:F87,5)&gt;0,Q83+1,0))</x:f>
        <x:v>1</x:v>
      </x:c>
      <x:c r="R87" s="2" t="n">
        <x:f>IF($A87="",0,IF(COUNTIF($F$84:F87,6)&gt;0,R83+1,0))</x:f>
        <x:v>2</x:v>
      </x:c>
    </x:row>
    <x:row r="88" ht="24" customHeight="1">
      <x:c r="A88" s="15" t="n">
        <x:f>'設定'!V16</x:f>
        <x:v>46286</x:v>
      </x:c>
      <x:c r="B88" s="2" t="n">
        <x:f>21</x:f>
        <x:v>21</x:v>
      </x:c>
      <x:c r="C88" s="2" t="str">
        <x:f>"早"</x:f>
        <x:v>早</x:v>
      </x:c>
      <x:c r="D88" s="2" t="n">
        <x:f>IF(AND('設定'!$B$21="入力OK",'設定'!V16&lt;&gt;"",'設定'!V17&gt;=1),1,0)</x:f>
        <x:v>1</x:v>
      </x:c>
      <x:c r="E88" s="2" t="str">
        <x:f>IF(D88=0,"",IF(F88=0,"不足",INDEX('設定'!$B$7:$B$12,F88)))</x:f>
        <x:v>スタッフD</x:v>
      </x:c>
      <x:c r="F88" s="2" t="n">
        <x:f>IF(D88=0,"",IF(MIN(G88:L88)&gt;=1000000,0,MATCH(MIN(G88:L88),G88:L88,0)))</x:f>
        <x:v>4</x:v>
      </x:c>
      <x:c r="G88" s="2" t="n">
        <x:f>IF(OR($D88=0,INDEX('希望休'!$B$7:$AF$12,1,$B88)&lt;&gt;"可",COUNTIFS($A$7:A87,$A88,$F$7:F87,1)&gt;0,COUNTIF($F$7:F87,1)&gt;='設定'!C7,M87&gt;='設定'!D7),1000000,COUNTIF($F$7:F87,1)*100+MOD(0+21+'設定'!$F$3,6))</x:f>
        <x:v>1403</x:v>
      </x:c>
      <x:c r="H88" s="2" t="n">
        <x:f>IF(OR($D88=0,INDEX('希望休'!$B$7:$AF$12,2,$B88)&lt;&gt;"可",COUNTIFS($A$7:A87,$A88,$F$7:F87,2)&gt;0,COUNTIF($F$7:F87,2)&gt;='設定'!C8,N87&gt;='設定'!D8),1000000,COUNTIF($F$7:F87,2)*100+MOD(1+21+'設定'!$F$3,6))</x:f>
        <x:v>1304</x:v>
      </x:c>
      <x:c r="I88" s="2" t="n">
        <x:f>IF(OR($D88=0,INDEX('希望休'!$B$7:$AF$12,3,$B88)&lt;&gt;"可",COUNTIFS($A$7:A87,$A88,$F$7:F87,3)&gt;0,COUNTIF($F$7:F87,3)&gt;='設定'!C9,O87&gt;='設定'!D9),1000000,COUNTIF($F$7:F87,3)*100+MOD(2+21+'設定'!$F$3,6))</x:f>
        <x:v>1305</x:v>
      </x:c>
      <x:c r="J88" s="2" t="n">
        <x:f>IF(OR($D88=0,INDEX('希望休'!$B$7:$AF$12,4,$B88)&lt;&gt;"可",COUNTIFS($A$7:A87,$A88,$F$7:F87,4)&gt;0,COUNTIF($F$7:F87,4)&gt;='設定'!C10,P87&gt;='設定'!D10),1000000,COUNTIF($F$7:F87,4)*100+MOD(3+21+'設定'!$F$3,6))</x:f>
        <x:v>1300</x:v>
      </x:c>
      <x:c r="K88" s="2" t="n">
        <x:f>IF(OR($D88=0,INDEX('希望休'!$B$7:$AF$12,5,$B88)&lt;&gt;"可",COUNTIFS($A$7:A87,$A88,$F$7:F87,5)&gt;0,COUNTIF($F$7:F87,5)&gt;='設定'!C11,Q87&gt;='設定'!D11),1000000,COUNTIF($F$7:F87,5)*100+MOD(4+21+'設定'!$F$3,6))</x:f>
        <x:v>1301</x:v>
      </x:c>
      <x:c r="L88" s="2" t="n">
        <x:f>IF(OR($D88=0,INDEX('希望休'!$B$7:$AF$12,6,$B88)&lt;&gt;"可",COUNTIFS($A$7:A87,$A88,$F$7:F87,6)&gt;0,COUNTIF($F$7:F87,6)&gt;='設定'!C12,R87&gt;='設定'!D12),1000000,COUNTIF($F$7:F87,6)*100+MOD(5+21+'設定'!$F$3,6))</x:f>
        <x:v>1402</x:v>
      </x:c>
      <x:c r="M88" s="2" t="n">
        <x:f>IF($A88="",0,IF(COUNTIF($F$88:F88,1)&gt;0,M87+1,0))</x:f>
        <x:v>0</x:v>
      </x:c>
      <x:c r="N88" s="2" t="n">
        <x:f>IF($A88="",0,IF(COUNTIF($F$88:F88,2)&gt;0,N87+1,0))</x:f>
        <x:v>0</x:v>
      </x:c>
      <x:c r="O88" s="2" t="n">
        <x:f>IF($A88="",0,IF(COUNTIF($F$88:F88,3)&gt;0,O87+1,0))</x:f>
        <x:v>0</x:v>
      </x:c>
      <x:c r="P88" s="2" t="n">
        <x:f>IF($A88="",0,IF(COUNTIF($F$88:F88,4)&gt;0,P87+1,0))</x:f>
        <x:v>2</x:v>
      </x:c>
      <x:c r="Q88" s="2" t="n">
        <x:f>IF($A88="",0,IF(COUNTIF($F$88:F88,5)&gt;0,Q87+1,0))</x:f>
        <x:v>0</x:v>
      </x:c>
      <x:c r="R88" s="2" t="n">
        <x:f>IF($A88="",0,IF(COUNTIF($F$88:F88,6)&gt;0,R87+1,0))</x:f>
        <x:v>0</x:v>
      </x:c>
    </x:row>
    <x:row r="89" ht="24" customHeight="1">
      <x:c r="A89" s="15" t="n">
        <x:f>'設定'!V16</x:f>
        <x:v>46286</x:v>
      </x:c>
      <x:c r="B89" s="2" t="n">
        <x:f>21</x:f>
        <x:v>21</x:v>
      </x:c>
      <x:c r="C89" s="2" t="str">
        <x:f>"早"</x:f>
        <x:v>早</x:v>
      </x:c>
      <x:c r="D89" s="2" t="n">
        <x:f>IF(AND('設定'!$B$21="入力OK",'設定'!V16&lt;&gt;"",'設定'!V17&gt;=2),1,0)</x:f>
        <x:v>1</x:v>
      </x:c>
      <x:c r="E89" s="2" t="str">
        <x:f>IF(D89=0,"",IF(F89=0,"不足",INDEX('設定'!$B$7:$B$12,F89)))</x:f>
        <x:v>スタッフE</x:v>
      </x:c>
      <x:c r="F89" s="2" t="n">
        <x:f>IF(D89=0,"",IF(MIN(G89:L89)&gt;=1000000,0,MATCH(MIN(G89:L89),G89:L89,0)))</x:f>
        <x:v>5</x:v>
      </x:c>
      <x:c r="G89" s="2" t="n">
        <x:f>IF(OR($D89=0,INDEX('希望休'!$B$7:$AF$12,1,$B89)&lt;&gt;"可",COUNTIFS($A$7:A88,$A89,$F$7:F88,1)&gt;0,COUNTIF($F$7:F88,1)&gt;='設定'!C7,M87&gt;='設定'!D7),1000000,COUNTIF($F$7:F88,1)*100+MOD(0+21+'設定'!$F$3,6))</x:f>
        <x:v>1403</x:v>
      </x:c>
      <x:c r="H89" s="2" t="n">
        <x:f>IF(OR($D89=0,INDEX('希望休'!$B$7:$AF$12,2,$B89)&lt;&gt;"可",COUNTIFS($A$7:A88,$A89,$F$7:F88,2)&gt;0,COUNTIF($F$7:F88,2)&gt;='設定'!C8,N87&gt;='設定'!D8),1000000,COUNTIF($F$7:F88,2)*100+MOD(1+21+'設定'!$F$3,6))</x:f>
        <x:v>1304</x:v>
      </x:c>
      <x:c r="I89" s="2" t="n">
        <x:f>IF(OR($D89=0,INDEX('希望休'!$B$7:$AF$12,3,$B89)&lt;&gt;"可",COUNTIFS($A$7:A88,$A89,$F$7:F88,3)&gt;0,COUNTIF($F$7:F88,3)&gt;='設定'!C9,O87&gt;='設定'!D9),1000000,COUNTIF($F$7:F88,3)*100+MOD(2+21+'設定'!$F$3,6))</x:f>
        <x:v>1305</x:v>
      </x:c>
      <x:c r="J89" s="2" t="n">
        <x:f>IF(OR($D89=0,INDEX('希望休'!$B$7:$AF$12,4,$B89)&lt;&gt;"可",COUNTIFS($A$7:A88,$A89,$F$7:F88,4)&gt;0,COUNTIF($F$7:F88,4)&gt;='設定'!C10,P87&gt;='設定'!D10),1000000,COUNTIF($F$7:F88,4)*100+MOD(3+21+'設定'!$F$3,6))</x:f>
        <x:v>1000000</x:v>
      </x:c>
      <x:c r="K89" s="2" t="n">
        <x:f>IF(OR($D89=0,INDEX('希望休'!$B$7:$AF$12,5,$B89)&lt;&gt;"可",COUNTIFS($A$7:A88,$A89,$F$7:F88,5)&gt;0,COUNTIF($F$7:F88,5)&gt;='設定'!C11,Q87&gt;='設定'!D11),1000000,COUNTIF($F$7:F88,5)*100+MOD(4+21+'設定'!$F$3,6))</x:f>
        <x:v>1301</x:v>
      </x:c>
      <x:c r="L89" s="2" t="n">
        <x:f>IF(OR($D89=0,INDEX('希望休'!$B$7:$AF$12,6,$B89)&lt;&gt;"可",COUNTIFS($A$7:A88,$A89,$F$7:F88,6)&gt;0,COUNTIF($F$7:F88,6)&gt;='設定'!C12,R87&gt;='設定'!D12),1000000,COUNTIF($F$7:F88,6)*100+MOD(5+21+'設定'!$F$3,6))</x:f>
        <x:v>1402</x:v>
      </x:c>
      <x:c r="M89" s="2" t="n">
        <x:f>IF($A89="",0,IF(COUNTIF($F$88:F89,1)&gt;0,M87+1,0))</x:f>
        <x:v>0</x:v>
      </x:c>
      <x:c r="N89" s="2" t="n">
        <x:f>IF($A89="",0,IF(COUNTIF($F$88:F89,2)&gt;0,N87+1,0))</x:f>
        <x:v>0</x:v>
      </x:c>
      <x:c r="O89" s="2" t="n">
        <x:f>IF($A89="",0,IF(COUNTIF($F$88:F89,3)&gt;0,O87+1,0))</x:f>
        <x:v>0</x:v>
      </x:c>
      <x:c r="P89" s="2" t="n">
        <x:f>IF($A89="",0,IF(COUNTIF($F$88:F89,4)&gt;0,P87+1,0))</x:f>
        <x:v>2</x:v>
      </x:c>
      <x:c r="Q89" s="2" t="n">
        <x:f>IF($A89="",0,IF(COUNTIF($F$88:F89,5)&gt;0,Q87+1,0))</x:f>
        <x:v>2</x:v>
      </x:c>
      <x:c r="R89" s="2" t="n">
        <x:f>IF($A89="",0,IF(COUNTIF($F$88:F89,6)&gt;0,R87+1,0))</x:f>
        <x:v>0</x:v>
      </x:c>
    </x:row>
    <x:row r="90" ht="24" customHeight="1">
      <x:c r="A90" s="15" t="n">
        <x:f>'設定'!V16</x:f>
        <x:v>46286</x:v>
      </x:c>
      <x:c r="B90" s="2" t="n">
        <x:f>21</x:f>
        <x:v>21</x:v>
      </x:c>
      <x:c r="C90" s="2" t="str">
        <x:f>"遅"</x:f>
        <x:v>遅</x:v>
      </x:c>
      <x:c r="D90" s="2" t="n">
        <x:f>IF(AND('設定'!$B$21="入力OK",'設定'!V16&lt;&gt;"",'設定'!V18&gt;=1),1,0)</x:f>
        <x:v>1</x:v>
      </x:c>
      <x:c r="E90" s="2" t="str">
        <x:f>IF(D90=0,"",IF(F90=0,"不足",INDEX('設定'!$B$7:$B$12,F90)))</x:f>
        <x:v>スタッフB</x:v>
      </x:c>
      <x:c r="F90" s="2" t="n">
        <x:f>IF(D90=0,"",IF(MIN(G90:L90)&gt;=1000000,0,MATCH(MIN(G90:L90),G90:L90,0)))</x:f>
        <x:v>2</x:v>
      </x:c>
      <x:c r="G90" s="2" t="n">
        <x:f>IF(OR($D90=0,INDEX('希望休'!$B$7:$AF$12,1,$B90)&lt;&gt;"可",COUNTIFS($A$7:A89,$A90,$F$7:F89,1)&gt;0,COUNTIF($F$7:F89,1)&gt;='設定'!C7,M87&gt;='設定'!D7),1000000,COUNTIF($F$7:F89,1)*100+MOD(0+21+'設定'!$F$3,6))</x:f>
        <x:v>1403</x:v>
      </x:c>
      <x:c r="H90" s="2" t="n">
        <x:f>IF(OR($D90=0,INDEX('希望休'!$B$7:$AF$12,2,$B90)&lt;&gt;"可",COUNTIFS($A$7:A89,$A90,$F$7:F89,2)&gt;0,COUNTIF($F$7:F89,2)&gt;='設定'!C8,N87&gt;='設定'!D8),1000000,COUNTIF($F$7:F89,2)*100+MOD(1+21+'設定'!$F$3,6))</x:f>
        <x:v>1304</x:v>
      </x:c>
      <x:c r="I90" s="2" t="n">
        <x:f>IF(OR($D90=0,INDEX('希望休'!$B$7:$AF$12,3,$B90)&lt;&gt;"可",COUNTIFS($A$7:A89,$A90,$F$7:F89,3)&gt;0,COUNTIF($F$7:F89,3)&gt;='設定'!C9,O87&gt;='設定'!D9),1000000,COUNTIF($F$7:F89,3)*100+MOD(2+21+'設定'!$F$3,6))</x:f>
        <x:v>1305</x:v>
      </x:c>
      <x:c r="J90" s="2" t="n">
        <x:f>IF(OR($D90=0,INDEX('希望休'!$B$7:$AF$12,4,$B90)&lt;&gt;"可",COUNTIFS($A$7:A89,$A90,$F$7:F89,4)&gt;0,COUNTIF($F$7:F89,4)&gt;='設定'!C10,P87&gt;='設定'!D10),1000000,COUNTIF($F$7:F89,4)*100+MOD(3+21+'設定'!$F$3,6))</x:f>
        <x:v>1000000</x:v>
      </x:c>
      <x:c r="K90" s="2" t="n">
        <x:f>IF(OR($D90=0,INDEX('希望休'!$B$7:$AF$12,5,$B90)&lt;&gt;"可",COUNTIFS($A$7:A89,$A90,$F$7:F89,5)&gt;0,COUNTIF($F$7:F89,5)&gt;='設定'!C11,Q87&gt;='設定'!D11),1000000,COUNTIF($F$7:F89,5)*100+MOD(4+21+'設定'!$F$3,6))</x:f>
        <x:v>1000000</x:v>
      </x:c>
      <x:c r="L90" s="2" t="n">
        <x:f>IF(OR($D90=0,INDEX('希望休'!$B$7:$AF$12,6,$B90)&lt;&gt;"可",COUNTIFS($A$7:A89,$A90,$F$7:F89,6)&gt;0,COUNTIF($F$7:F89,6)&gt;='設定'!C12,R87&gt;='設定'!D12),1000000,COUNTIF($F$7:F89,6)*100+MOD(5+21+'設定'!$F$3,6))</x:f>
        <x:v>1402</x:v>
      </x:c>
      <x:c r="M90" s="2" t="n">
        <x:f>IF($A90="",0,IF(COUNTIF($F$88:F90,1)&gt;0,M87+1,0))</x:f>
        <x:v>0</x:v>
      </x:c>
      <x:c r="N90" s="2" t="n">
        <x:f>IF($A90="",0,IF(COUNTIF($F$88:F90,2)&gt;0,N87+1,0))</x:f>
        <x:v>1</x:v>
      </x:c>
      <x:c r="O90" s="2" t="n">
        <x:f>IF($A90="",0,IF(COUNTIF($F$88:F90,3)&gt;0,O87+1,0))</x:f>
        <x:v>0</x:v>
      </x:c>
      <x:c r="P90" s="2" t="n">
        <x:f>IF($A90="",0,IF(COUNTIF($F$88:F90,4)&gt;0,P87+1,0))</x:f>
        <x:v>2</x:v>
      </x:c>
      <x:c r="Q90" s="2" t="n">
        <x:f>IF($A90="",0,IF(COUNTIF($F$88:F90,5)&gt;0,Q87+1,0))</x:f>
        <x:v>2</x:v>
      </x:c>
      <x:c r="R90" s="2" t="n">
        <x:f>IF($A90="",0,IF(COUNTIF($F$88:F90,6)&gt;0,R87+1,0))</x:f>
        <x:v>0</x:v>
      </x:c>
    </x:row>
    <x:row r="91" ht="24" customHeight="1">
      <x:c r="A91" s="15" t="n">
        <x:f>'設定'!V16</x:f>
        <x:v>46286</x:v>
      </x:c>
      <x:c r="B91" s="2" t="n">
        <x:f>21</x:f>
        <x:v>21</x:v>
      </x:c>
      <x:c r="C91" s="2" t="str">
        <x:f>"遅"</x:f>
        <x:v>遅</x:v>
      </x:c>
      <x:c r="D91" s="2" t="n">
        <x:f>IF(AND('設定'!$B$21="入力OK",'設定'!V16&lt;&gt;"",'設定'!V18&gt;=2),1,0)</x:f>
        <x:v>1</x:v>
      </x:c>
      <x:c r="E91" s="2" t="str">
        <x:f>IF(D91=0,"",IF(F91=0,"不足",INDEX('設定'!$B$7:$B$12,F91)))</x:f>
        <x:v>スタッフC</x:v>
      </x:c>
      <x:c r="F91" s="2" t="n">
        <x:f>IF(D91=0,"",IF(MIN(G91:L91)&gt;=1000000,0,MATCH(MIN(G91:L91),G91:L91,0)))</x:f>
        <x:v>3</x:v>
      </x:c>
      <x:c r="G91" s="2" t="n">
        <x:f>IF(OR($D91=0,INDEX('希望休'!$B$7:$AF$12,1,$B91)&lt;&gt;"可",COUNTIFS($A$7:A90,$A91,$F$7:F90,1)&gt;0,COUNTIF($F$7:F90,1)&gt;='設定'!C7,M87&gt;='設定'!D7),1000000,COUNTIF($F$7:F90,1)*100+MOD(0+21+'設定'!$F$3,6))</x:f>
        <x:v>1403</x:v>
      </x:c>
      <x:c r="H91" s="2" t="n">
        <x:f>IF(OR($D91=0,INDEX('希望休'!$B$7:$AF$12,2,$B91)&lt;&gt;"可",COUNTIFS($A$7:A90,$A91,$F$7:F90,2)&gt;0,COUNTIF($F$7:F90,2)&gt;='設定'!C8,N87&gt;='設定'!D8),1000000,COUNTIF($F$7:F90,2)*100+MOD(1+21+'設定'!$F$3,6))</x:f>
        <x:v>1000000</x:v>
      </x:c>
      <x:c r="I91" s="2" t="n">
        <x:f>IF(OR($D91=0,INDEX('希望休'!$B$7:$AF$12,3,$B91)&lt;&gt;"可",COUNTIFS($A$7:A90,$A91,$F$7:F90,3)&gt;0,COUNTIF($F$7:F90,3)&gt;='設定'!C9,O87&gt;='設定'!D9),1000000,COUNTIF($F$7:F90,3)*100+MOD(2+21+'設定'!$F$3,6))</x:f>
        <x:v>1305</x:v>
      </x:c>
      <x:c r="J91" s="2" t="n">
        <x:f>IF(OR($D91=0,INDEX('希望休'!$B$7:$AF$12,4,$B91)&lt;&gt;"可",COUNTIFS($A$7:A90,$A91,$F$7:F90,4)&gt;0,COUNTIF($F$7:F90,4)&gt;='設定'!C10,P87&gt;='設定'!D10),1000000,COUNTIF($F$7:F90,4)*100+MOD(3+21+'設定'!$F$3,6))</x:f>
        <x:v>1000000</x:v>
      </x:c>
      <x:c r="K91" s="2" t="n">
        <x:f>IF(OR($D91=0,INDEX('希望休'!$B$7:$AF$12,5,$B91)&lt;&gt;"可",COUNTIFS($A$7:A90,$A91,$F$7:F90,5)&gt;0,COUNTIF($F$7:F90,5)&gt;='設定'!C11,Q87&gt;='設定'!D11),1000000,COUNTIF($F$7:F90,5)*100+MOD(4+21+'設定'!$F$3,6))</x:f>
        <x:v>1000000</x:v>
      </x:c>
      <x:c r="L91" s="2" t="n">
        <x:f>IF(OR($D91=0,INDEX('希望休'!$B$7:$AF$12,6,$B91)&lt;&gt;"可",COUNTIFS($A$7:A90,$A91,$F$7:F90,6)&gt;0,COUNTIF($F$7:F90,6)&gt;='設定'!C12,R87&gt;='設定'!D12),1000000,COUNTIF($F$7:F90,6)*100+MOD(5+21+'設定'!$F$3,6))</x:f>
        <x:v>1402</x:v>
      </x:c>
      <x:c r="M91" s="2" t="n">
        <x:f>IF($A91="",0,IF(COUNTIF($F$88:F91,1)&gt;0,M87+1,0))</x:f>
        <x:v>0</x:v>
      </x:c>
      <x:c r="N91" s="2" t="n">
        <x:f>IF($A91="",0,IF(COUNTIF($F$88:F91,2)&gt;0,N87+1,0))</x:f>
        <x:v>1</x:v>
      </x:c>
      <x:c r="O91" s="2" t="n">
        <x:f>IF($A91="",0,IF(COUNTIF($F$88:F91,3)&gt;0,O87+1,0))</x:f>
        <x:v>1</x:v>
      </x:c>
      <x:c r="P91" s="2" t="n">
        <x:f>IF($A91="",0,IF(COUNTIF($F$88:F91,4)&gt;0,P87+1,0))</x:f>
        <x:v>2</x:v>
      </x:c>
      <x:c r="Q91" s="2" t="n">
        <x:f>IF($A91="",0,IF(COUNTIF($F$88:F91,5)&gt;0,Q87+1,0))</x:f>
        <x:v>2</x:v>
      </x:c>
      <x:c r="R91" s="2" t="n">
        <x:f>IF($A91="",0,IF(COUNTIF($F$88:F91,6)&gt;0,R87+1,0))</x:f>
        <x:v>0</x:v>
      </x:c>
    </x:row>
    <x:row r="92" ht="24" customHeight="1">
      <x:c r="A92" s="15" t="n">
        <x:f>'設定'!W16</x:f>
        <x:v>46287</x:v>
      </x:c>
      <x:c r="B92" s="2" t="n">
        <x:f>22</x:f>
        <x:v>22</x:v>
      </x:c>
      <x:c r="C92" s="2" t="str">
        <x:f>"早"</x:f>
        <x:v>早</x:v>
      </x:c>
      <x:c r="D92" s="2" t="n">
        <x:f>IF(AND('設定'!$B$21="入力OK",'設定'!W16&lt;&gt;"",'設定'!W17&gt;=1),1,0)</x:f>
        <x:v>1</x:v>
      </x:c>
      <x:c r="E92" s="2" t="str">
        <x:f>IF(D92=0,"",IF(F92=0,"不足",INDEX('設定'!$B$7:$B$12,F92)))</x:f>
        <x:v>スタッフC</x:v>
      </x:c>
      <x:c r="F92" s="2" t="n">
        <x:f>IF(D92=0,"",IF(MIN(G92:L92)&gt;=1000000,0,MATCH(MIN(G92:L92),G92:L92,0)))</x:f>
        <x:v>3</x:v>
      </x:c>
      <x:c r="G92" s="2" t="n">
        <x:f>IF(OR($D92=0,INDEX('希望休'!$B$7:$AF$12,1,$B92)&lt;&gt;"可",COUNTIFS($A$7:A91,$A92,$F$7:F91,1)&gt;0,COUNTIF($F$7:F91,1)&gt;='設定'!C7,M91&gt;='設定'!D7),1000000,COUNTIF($F$7:F91,1)*100+MOD(0+22+'設定'!$F$3,6))</x:f>
        <x:v>1404</x:v>
      </x:c>
      <x:c r="H92" s="2" t="n">
        <x:f>IF(OR($D92=0,INDEX('希望休'!$B$7:$AF$12,2,$B92)&lt;&gt;"可",COUNTIFS($A$7:A91,$A92,$F$7:F91,2)&gt;0,COUNTIF($F$7:F91,2)&gt;='設定'!C8,N91&gt;='設定'!D8),1000000,COUNTIF($F$7:F91,2)*100+MOD(1+22+'設定'!$F$3,6))</x:f>
        <x:v>1405</x:v>
      </x:c>
      <x:c r="I92" s="2" t="n">
        <x:f>IF(OR($D92=0,INDEX('希望休'!$B$7:$AF$12,3,$B92)&lt;&gt;"可",COUNTIFS($A$7:A91,$A92,$F$7:F91,3)&gt;0,COUNTIF($F$7:F91,3)&gt;='設定'!C9,O91&gt;='設定'!D9),1000000,COUNTIF($F$7:F91,3)*100+MOD(2+22+'設定'!$F$3,6))</x:f>
        <x:v>1400</x:v>
      </x:c>
      <x:c r="J92" s="2" t="n">
        <x:f>IF(OR($D92=0,INDEX('希望休'!$B$7:$AF$12,4,$B92)&lt;&gt;"可",COUNTIFS($A$7:A91,$A92,$F$7:F91,4)&gt;0,COUNTIF($F$7:F91,4)&gt;='設定'!C10,P91&gt;='設定'!D10),1000000,COUNTIF($F$7:F91,4)*100+MOD(3+22+'設定'!$F$3,6))</x:f>
        <x:v>1401</x:v>
      </x:c>
      <x:c r="K92" s="2" t="n">
        <x:f>IF(OR($D92=0,INDEX('希望休'!$B$7:$AF$12,5,$B92)&lt;&gt;"可",COUNTIFS($A$7:A91,$A92,$F$7:F91,5)&gt;0,COUNTIF($F$7:F91,5)&gt;='設定'!C11,Q91&gt;='設定'!D11),1000000,COUNTIF($F$7:F91,5)*100+MOD(4+22+'設定'!$F$3,6))</x:f>
        <x:v>1402</x:v>
      </x:c>
      <x:c r="L92" s="2" t="n">
        <x:f>IF(OR($D92=0,INDEX('希望休'!$B$7:$AF$12,6,$B92)&lt;&gt;"可",COUNTIFS($A$7:A91,$A92,$F$7:F91,6)&gt;0,COUNTIF($F$7:F91,6)&gt;='設定'!C12,R91&gt;='設定'!D12),1000000,COUNTIF($F$7:F91,6)*100+MOD(5+22+'設定'!$F$3,6))</x:f>
        <x:v>1403</x:v>
      </x:c>
      <x:c r="M92" s="2" t="n">
        <x:f>IF($A92="",0,IF(COUNTIF($F$92:F92,1)&gt;0,M91+1,0))</x:f>
        <x:v>0</x:v>
      </x:c>
      <x:c r="N92" s="2" t="n">
        <x:f>IF($A92="",0,IF(COUNTIF($F$92:F92,2)&gt;0,N91+1,0))</x:f>
        <x:v>0</x:v>
      </x:c>
      <x:c r="O92" s="2" t="n">
        <x:f>IF($A92="",0,IF(COUNTIF($F$92:F92,3)&gt;0,O91+1,0))</x:f>
        <x:v>2</x:v>
      </x:c>
      <x:c r="P92" s="2" t="n">
        <x:f>IF($A92="",0,IF(COUNTIF($F$92:F92,4)&gt;0,P91+1,0))</x:f>
        <x:v>0</x:v>
      </x:c>
      <x:c r="Q92" s="2" t="n">
        <x:f>IF($A92="",0,IF(COUNTIF($F$92:F92,5)&gt;0,Q91+1,0))</x:f>
        <x:v>0</x:v>
      </x:c>
      <x:c r="R92" s="2" t="n">
        <x:f>IF($A92="",0,IF(COUNTIF($F$92:F92,6)&gt;0,R91+1,0))</x:f>
        <x:v>0</x:v>
      </x:c>
    </x:row>
    <x:row r="93" ht="24" customHeight="1">
      <x:c r="A93" s="15" t="n">
        <x:f>'設定'!W16</x:f>
        <x:v>46287</x:v>
      </x:c>
      <x:c r="B93" s="2" t="n">
        <x:f>22</x:f>
        <x:v>22</x:v>
      </x:c>
      <x:c r="C93" s="2" t="str">
        <x:f>"早"</x:f>
        <x:v>早</x:v>
      </x:c>
      <x:c r="D93" s="2" t="n">
        <x:f>IF(AND('設定'!$B$21="入力OK",'設定'!W16&lt;&gt;"",'設定'!W17&gt;=2),1,0)</x:f>
        <x:v>1</x:v>
      </x:c>
      <x:c r="E93" s="2" t="str">
        <x:f>IF(D93=0,"",IF(F93=0,"不足",INDEX('設定'!$B$7:$B$12,F93)))</x:f>
        <x:v>スタッフD</x:v>
      </x:c>
      <x:c r="F93" s="2" t="n">
        <x:f>IF(D93=0,"",IF(MIN(G93:L93)&gt;=1000000,0,MATCH(MIN(G93:L93),G93:L93,0)))</x:f>
        <x:v>4</x:v>
      </x:c>
      <x:c r="G93" s="2" t="n">
        <x:f>IF(OR($D93=0,INDEX('希望休'!$B$7:$AF$12,1,$B93)&lt;&gt;"可",COUNTIFS($A$7:A92,$A93,$F$7:F92,1)&gt;0,COUNTIF($F$7:F92,1)&gt;='設定'!C7,M91&gt;='設定'!D7),1000000,COUNTIF($F$7:F92,1)*100+MOD(0+22+'設定'!$F$3,6))</x:f>
        <x:v>1404</x:v>
      </x:c>
      <x:c r="H93" s="2" t="n">
        <x:f>IF(OR($D93=0,INDEX('希望休'!$B$7:$AF$12,2,$B93)&lt;&gt;"可",COUNTIFS($A$7:A92,$A93,$F$7:F92,2)&gt;0,COUNTIF($F$7:F92,2)&gt;='設定'!C8,N91&gt;='設定'!D8),1000000,COUNTIF($F$7:F92,2)*100+MOD(1+22+'設定'!$F$3,6))</x:f>
        <x:v>1405</x:v>
      </x:c>
      <x:c r="I93" s="2" t="n">
        <x:f>IF(OR($D93=0,INDEX('希望休'!$B$7:$AF$12,3,$B93)&lt;&gt;"可",COUNTIFS($A$7:A92,$A93,$F$7:F92,3)&gt;0,COUNTIF($F$7:F92,3)&gt;='設定'!C9,O91&gt;='設定'!D9),1000000,COUNTIF($F$7:F92,3)*100+MOD(2+22+'設定'!$F$3,6))</x:f>
        <x:v>1000000</x:v>
      </x:c>
      <x:c r="J93" s="2" t="n">
        <x:f>IF(OR($D93=0,INDEX('希望休'!$B$7:$AF$12,4,$B93)&lt;&gt;"可",COUNTIFS($A$7:A92,$A93,$F$7:F92,4)&gt;0,COUNTIF($F$7:F92,4)&gt;='設定'!C10,P91&gt;='設定'!D10),1000000,COUNTIF($F$7:F92,4)*100+MOD(3+22+'設定'!$F$3,6))</x:f>
        <x:v>1401</x:v>
      </x:c>
      <x:c r="K93" s="2" t="n">
        <x:f>IF(OR($D93=0,INDEX('希望休'!$B$7:$AF$12,5,$B93)&lt;&gt;"可",COUNTIFS($A$7:A92,$A93,$F$7:F92,5)&gt;0,COUNTIF($F$7:F92,5)&gt;='設定'!C11,Q91&gt;='設定'!D11),1000000,COUNTIF($F$7:F92,5)*100+MOD(4+22+'設定'!$F$3,6))</x:f>
        <x:v>1402</x:v>
      </x:c>
      <x:c r="L93" s="2" t="n">
        <x:f>IF(OR($D93=0,INDEX('希望休'!$B$7:$AF$12,6,$B93)&lt;&gt;"可",COUNTIFS($A$7:A92,$A93,$F$7:F92,6)&gt;0,COUNTIF($F$7:F92,6)&gt;='設定'!C12,R91&gt;='設定'!D12),1000000,COUNTIF($F$7:F92,6)*100+MOD(5+22+'設定'!$F$3,6))</x:f>
        <x:v>1403</x:v>
      </x:c>
      <x:c r="M93" s="2" t="n">
        <x:f>IF($A93="",0,IF(COUNTIF($F$92:F93,1)&gt;0,M91+1,0))</x:f>
        <x:v>0</x:v>
      </x:c>
      <x:c r="N93" s="2" t="n">
        <x:f>IF($A93="",0,IF(COUNTIF($F$92:F93,2)&gt;0,N91+1,0))</x:f>
        <x:v>0</x:v>
      </x:c>
      <x:c r="O93" s="2" t="n">
        <x:f>IF($A93="",0,IF(COUNTIF($F$92:F93,3)&gt;0,O91+1,0))</x:f>
        <x:v>2</x:v>
      </x:c>
      <x:c r="P93" s="2" t="n">
        <x:f>IF($A93="",0,IF(COUNTIF($F$92:F93,4)&gt;0,P91+1,0))</x:f>
        <x:v>3</x:v>
      </x:c>
      <x:c r="Q93" s="2" t="n">
        <x:f>IF($A93="",0,IF(COUNTIF($F$92:F93,5)&gt;0,Q91+1,0))</x:f>
        <x:v>0</x:v>
      </x:c>
      <x:c r="R93" s="2" t="n">
        <x:f>IF($A93="",0,IF(COUNTIF($F$92:F93,6)&gt;0,R91+1,0))</x:f>
        <x:v>0</x:v>
      </x:c>
    </x:row>
    <x:row r="94" ht="24" customHeight="1">
      <x:c r="A94" s="15" t="n">
        <x:f>'設定'!W16</x:f>
        <x:v>46287</x:v>
      </x:c>
      <x:c r="B94" s="2" t="n">
        <x:f>22</x:f>
        <x:v>22</x:v>
      </x:c>
      <x:c r="C94" s="2" t="str">
        <x:f>"遅"</x:f>
        <x:v>遅</x:v>
      </x:c>
      <x:c r="D94" s="2" t="n">
        <x:f>IF(AND('設定'!$B$21="入力OK",'設定'!W16&lt;&gt;"",'設定'!W18&gt;=1),1,0)</x:f>
        <x:v>1</x:v>
      </x:c>
      <x:c r="E94" s="2" t="str">
        <x:f>IF(D94=0,"",IF(F94=0,"不足",INDEX('設定'!$B$7:$B$12,F94)))</x:f>
        <x:v>スタッフE</x:v>
      </x:c>
      <x:c r="F94" s="2" t="n">
        <x:f>IF(D94=0,"",IF(MIN(G94:L94)&gt;=1000000,0,MATCH(MIN(G94:L94),G94:L94,0)))</x:f>
        <x:v>5</x:v>
      </x:c>
      <x:c r="G94" s="2" t="n">
        <x:f>IF(OR($D94=0,INDEX('希望休'!$B$7:$AF$12,1,$B94)&lt;&gt;"可",COUNTIFS($A$7:A93,$A94,$F$7:F93,1)&gt;0,COUNTIF($F$7:F93,1)&gt;='設定'!C7,M91&gt;='設定'!D7),1000000,COUNTIF($F$7:F93,1)*100+MOD(0+22+'設定'!$F$3,6))</x:f>
        <x:v>1404</x:v>
      </x:c>
      <x:c r="H94" s="2" t="n">
        <x:f>IF(OR($D94=0,INDEX('希望休'!$B$7:$AF$12,2,$B94)&lt;&gt;"可",COUNTIFS($A$7:A93,$A94,$F$7:F93,2)&gt;0,COUNTIF($F$7:F93,2)&gt;='設定'!C8,N91&gt;='設定'!D8),1000000,COUNTIF($F$7:F93,2)*100+MOD(1+22+'設定'!$F$3,6))</x:f>
        <x:v>1405</x:v>
      </x:c>
      <x:c r="I94" s="2" t="n">
        <x:f>IF(OR($D94=0,INDEX('希望休'!$B$7:$AF$12,3,$B94)&lt;&gt;"可",COUNTIFS($A$7:A93,$A94,$F$7:F93,3)&gt;0,COUNTIF($F$7:F93,3)&gt;='設定'!C9,O91&gt;='設定'!D9),1000000,COUNTIF($F$7:F93,3)*100+MOD(2+22+'設定'!$F$3,6))</x:f>
        <x:v>1000000</x:v>
      </x:c>
      <x:c r="J94" s="2" t="n">
        <x:f>IF(OR($D94=0,INDEX('希望休'!$B$7:$AF$12,4,$B94)&lt;&gt;"可",COUNTIFS($A$7:A93,$A94,$F$7:F93,4)&gt;0,COUNTIF($F$7:F93,4)&gt;='設定'!C10,P91&gt;='設定'!D10),1000000,COUNTIF($F$7:F93,4)*100+MOD(3+22+'設定'!$F$3,6))</x:f>
        <x:v>1000000</x:v>
      </x:c>
      <x:c r="K94" s="2" t="n">
        <x:f>IF(OR($D94=0,INDEX('希望休'!$B$7:$AF$12,5,$B94)&lt;&gt;"可",COUNTIFS($A$7:A93,$A94,$F$7:F93,5)&gt;0,COUNTIF($F$7:F93,5)&gt;='設定'!C11,Q91&gt;='設定'!D11),1000000,COUNTIF($F$7:F93,5)*100+MOD(4+22+'設定'!$F$3,6))</x:f>
        <x:v>1402</x:v>
      </x:c>
      <x:c r="L94" s="2" t="n">
        <x:f>IF(OR($D94=0,INDEX('希望休'!$B$7:$AF$12,6,$B94)&lt;&gt;"可",COUNTIFS($A$7:A93,$A94,$F$7:F93,6)&gt;0,COUNTIF($F$7:F93,6)&gt;='設定'!C12,R91&gt;='設定'!D12),1000000,COUNTIF($F$7:F93,6)*100+MOD(5+22+'設定'!$F$3,6))</x:f>
        <x:v>1403</x:v>
      </x:c>
      <x:c r="M94" s="2" t="n">
        <x:f>IF($A94="",0,IF(COUNTIF($F$92:F94,1)&gt;0,M91+1,0))</x:f>
        <x:v>0</x:v>
      </x:c>
      <x:c r="N94" s="2" t="n">
        <x:f>IF($A94="",0,IF(COUNTIF($F$92:F94,2)&gt;0,N91+1,0))</x:f>
        <x:v>0</x:v>
      </x:c>
      <x:c r="O94" s="2" t="n">
        <x:f>IF($A94="",0,IF(COUNTIF($F$92:F94,3)&gt;0,O91+1,0))</x:f>
        <x:v>2</x:v>
      </x:c>
      <x:c r="P94" s="2" t="n">
        <x:f>IF($A94="",0,IF(COUNTIF($F$92:F94,4)&gt;0,P91+1,0))</x:f>
        <x:v>3</x:v>
      </x:c>
      <x:c r="Q94" s="2" t="n">
        <x:f>IF($A94="",0,IF(COUNTIF($F$92:F94,5)&gt;0,Q91+1,0))</x:f>
        <x:v>3</x:v>
      </x:c>
      <x:c r="R94" s="2" t="n">
        <x:f>IF($A94="",0,IF(COUNTIF($F$92:F94,6)&gt;0,R91+1,0))</x:f>
        <x:v>0</x:v>
      </x:c>
    </x:row>
    <x:row r="95" ht="24" customHeight="1">
      <x:c r="A95" s="15" t="n">
        <x:f>'設定'!W16</x:f>
        <x:v>46287</x:v>
      </x:c>
      <x:c r="B95" s="2" t="n">
        <x:f>22</x:f>
        <x:v>22</x:v>
      </x:c>
      <x:c r="C95" s="2" t="str">
        <x:f>"遅"</x:f>
        <x:v>遅</x:v>
      </x:c>
      <x:c r="D95" s="2" t="n">
        <x:f>IF(AND('設定'!$B$21="入力OK",'設定'!W16&lt;&gt;"",'設定'!W18&gt;=2),1,0)</x:f>
        <x:v>1</x:v>
      </x:c>
      <x:c r="E95" s="2" t="str">
        <x:f>IF(D95=0,"",IF(F95=0,"不足",INDEX('設定'!$B$7:$B$12,F95)))</x:f>
        <x:v>スタッフF</x:v>
      </x:c>
      <x:c r="F95" s="2" t="n">
        <x:f>IF(D95=0,"",IF(MIN(G95:L95)&gt;=1000000,0,MATCH(MIN(G95:L95),G95:L95,0)))</x:f>
        <x:v>6</x:v>
      </x:c>
      <x:c r="G95" s="2" t="n">
        <x:f>IF(OR($D95=0,INDEX('希望休'!$B$7:$AF$12,1,$B95)&lt;&gt;"可",COUNTIFS($A$7:A94,$A95,$F$7:F94,1)&gt;0,COUNTIF($F$7:F94,1)&gt;='設定'!C7,M91&gt;='設定'!D7),1000000,COUNTIF($F$7:F94,1)*100+MOD(0+22+'設定'!$F$3,6))</x:f>
        <x:v>1404</x:v>
      </x:c>
      <x:c r="H95" s="2" t="n">
        <x:f>IF(OR($D95=0,INDEX('希望休'!$B$7:$AF$12,2,$B95)&lt;&gt;"可",COUNTIFS($A$7:A94,$A95,$F$7:F94,2)&gt;0,COUNTIF($F$7:F94,2)&gt;='設定'!C8,N91&gt;='設定'!D8),1000000,COUNTIF($F$7:F94,2)*100+MOD(1+22+'設定'!$F$3,6))</x:f>
        <x:v>1405</x:v>
      </x:c>
      <x:c r="I95" s="2" t="n">
        <x:f>IF(OR($D95=0,INDEX('希望休'!$B$7:$AF$12,3,$B95)&lt;&gt;"可",COUNTIFS($A$7:A94,$A95,$F$7:F94,3)&gt;0,COUNTIF($F$7:F94,3)&gt;='設定'!C9,O91&gt;='設定'!D9),1000000,COUNTIF($F$7:F94,3)*100+MOD(2+22+'設定'!$F$3,6))</x:f>
        <x:v>1000000</x:v>
      </x:c>
      <x:c r="J95" s="2" t="n">
        <x:f>IF(OR($D95=0,INDEX('希望休'!$B$7:$AF$12,4,$B95)&lt;&gt;"可",COUNTIFS($A$7:A94,$A95,$F$7:F94,4)&gt;0,COUNTIF($F$7:F94,4)&gt;='設定'!C10,P91&gt;='設定'!D10),1000000,COUNTIF($F$7:F94,4)*100+MOD(3+22+'設定'!$F$3,6))</x:f>
        <x:v>1000000</x:v>
      </x:c>
      <x:c r="K95" s="2" t="n">
        <x:f>IF(OR($D95=0,INDEX('希望休'!$B$7:$AF$12,5,$B95)&lt;&gt;"可",COUNTIFS($A$7:A94,$A95,$F$7:F94,5)&gt;0,COUNTIF($F$7:F94,5)&gt;='設定'!C11,Q91&gt;='設定'!D11),1000000,COUNTIF($F$7:F94,5)*100+MOD(4+22+'設定'!$F$3,6))</x:f>
        <x:v>1000000</x:v>
      </x:c>
      <x:c r="L95" s="2" t="n">
        <x:f>IF(OR($D95=0,INDEX('希望休'!$B$7:$AF$12,6,$B95)&lt;&gt;"可",COUNTIFS($A$7:A94,$A95,$F$7:F94,6)&gt;0,COUNTIF($F$7:F94,6)&gt;='設定'!C12,R91&gt;='設定'!D12),1000000,COUNTIF($F$7:F94,6)*100+MOD(5+22+'設定'!$F$3,6))</x:f>
        <x:v>1403</x:v>
      </x:c>
      <x:c r="M95" s="2" t="n">
        <x:f>IF($A95="",0,IF(COUNTIF($F$92:F95,1)&gt;0,M91+1,0))</x:f>
        <x:v>0</x:v>
      </x:c>
      <x:c r="N95" s="2" t="n">
        <x:f>IF($A95="",0,IF(COUNTIF($F$92:F95,2)&gt;0,N91+1,0))</x:f>
        <x:v>0</x:v>
      </x:c>
      <x:c r="O95" s="2" t="n">
        <x:f>IF($A95="",0,IF(COUNTIF($F$92:F95,3)&gt;0,O91+1,0))</x:f>
        <x:v>2</x:v>
      </x:c>
      <x:c r="P95" s="2" t="n">
        <x:f>IF($A95="",0,IF(COUNTIF($F$92:F95,4)&gt;0,P91+1,0))</x:f>
        <x:v>3</x:v>
      </x:c>
      <x:c r="Q95" s="2" t="n">
        <x:f>IF($A95="",0,IF(COUNTIF($F$92:F95,5)&gt;0,Q91+1,0))</x:f>
        <x:v>3</x:v>
      </x:c>
      <x:c r="R95" s="2" t="n">
        <x:f>IF($A95="",0,IF(COUNTIF($F$92:F95,6)&gt;0,R91+1,0))</x:f>
        <x:v>1</x:v>
      </x:c>
    </x:row>
    <x:row r="96" ht="24" customHeight="1">
      <x:c r="A96" s="15" t="n">
        <x:f>'設定'!X16</x:f>
        <x:v>46288</x:v>
      </x:c>
      <x:c r="B96" s="2" t="n">
        <x:f>23</x:f>
        <x:v>23</x:v>
      </x:c>
      <x:c r="C96" s="2" t="str">
        <x:f>"早"</x:f>
        <x:v>早</x:v>
      </x:c>
      <x:c r="D96" s="2" t="n">
        <x:f>IF(AND('設定'!$B$21="入力OK",'設定'!X16&lt;&gt;"",'設定'!X17&gt;=1),1,0)</x:f>
        <x:v>1</x:v>
      </x:c>
      <x:c r="E96" s="2" t="str">
        <x:f>IF(D96=0,"",IF(F96=0,"不足",INDEX('設定'!$B$7:$B$12,F96)))</x:f>
        <x:v>スタッフB</x:v>
      </x:c>
      <x:c r="F96" s="2" t="n">
        <x:f>IF(D96=0,"",IF(MIN(G96:L96)&gt;=1000000,0,MATCH(MIN(G96:L96),G96:L96,0)))</x:f>
        <x:v>2</x:v>
      </x:c>
      <x:c r="G96" s="2" t="n">
        <x:f>IF(OR($D96=0,INDEX('希望休'!$B$7:$AF$12,1,$B96)&lt;&gt;"可",COUNTIFS($A$7:A95,$A96,$F$7:F95,1)&gt;0,COUNTIF($F$7:F95,1)&gt;='設定'!C7,M95&gt;='設定'!D7),1000000,COUNTIF($F$7:F95,1)*100+MOD(0+23+'設定'!$F$3,6))</x:f>
        <x:v>1405</x:v>
      </x:c>
      <x:c r="H96" s="2" t="n">
        <x:f>IF(OR($D96=0,INDEX('希望休'!$B$7:$AF$12,2,$B96)&lt;&gt;"可",COUNTIFS($A$7:A95,$A96,$F$7:F95,2)&gt;0,COUNTIF($F$7:F95,2)&gt;='設定'!C8,N95&gt;='設定'!D8),1000000,COUNTIF($F$7:F95,2)*100+MOD(1+23+'設定'!$F$3,6))</x:f>
        <x:v>1400</x:v>
      </x:c>
      <x:c r="I96" s="2" t="n">
        <x:f>IF(OR($D96=0,INDEX('希望休'!$B$7:$AF$12,3,$B96)&lt;&gt;"可",COUNTIFS($A$7:A95,$A96,$F$7:F95,3)&gt;0,COUNTIF($F$7:F95,3)&gt;='設定'!C9,O95&gt;='設定'!D9),1000000,COUNTIF($F$7:F95,3)*100+MOD(2+23+'設定'!$F$3,6))</x:f>
        <x:v>1501</x:v>
      </x:c>
      <x:c r="J96" s="2" t="n">
        <x:f>IF(OR($D96=0,INDEX('希望休'!$B$7:$AF$12,4,$B96)&lt;&gt;"可",COUNTIFS($A$7:A95,$A96,$F$7:F95,4)&gt;0,COUNTIF($F$7:F95,4)&gt;='設定'!C10,P95&gt;='設定'!D10),1000000,COUNTIF($F$7:F95,4)*100+MOD(3+23+'設定'!$F$3,6))</x:f>
        <x:v>1502</x:v>
      </x:c>
      <x:c r="K96" s="2" t="n">
        <x:f>IF(OR($D96=0,INDEX('希望休'!$B$7:$AF$12,5,$B96)&lt;&gt;"可",COUNTIFS($A$7:A95,$A96,$F$7:F95,5)&gt;0,COUNTIF($F$7:F95,5)&gt;='設定'!C11,Q95&gt;='設定'!D11),1000000,COUNTIF($F$7:F95,5)*100+MOD(4+23+'設定'!$F$3,6))</x:f>
        <x:v>1503</x:v>
      </x:c>
      <x:c r="L96" s="2" t="n">
        <x:f>IF(OR($D96=0,INDEX('希望休'!$B$7:$AF$12,6,$B96)&lt;&gt;"可",COUNTIFS($A$7:A95,$A96,$F$7:F95,6)&gt;0,COUNTIF($F$7:F95,6)&gt;='設定'!C12,R95&gt;='設定'!D12),1000000,COUNTIF($F$7:F95,6)*100+MOD(5+23+'設定'!$F$3,6))</x:f>
        <x:v>1504</x:v>
      </x:c>
      <x:c r="M96" s="2" t="n">
        <x:f>IF($A96="",0,IF(COUNTIF($F$96:F96,1)&gt;0,M95+1,0))</x:f>
        <x:v>0</x:v>
      </x:c>
      <x:c r="N96" s="2" t="n">
        <x:f>IF($A96="",0,IF(COUNTIF($F$96:F96,2)&gt;0,N95+1,0))</x:f>
        <x:v>1</x:v>
      </x:c>
      <x:c r="O96" s="2" t="n">
        <x:f>IF($A96="",0,IF(COUNTIF($F$96:F96,3)&gt;0,O95+1,0))</x:f>
        <x:v>0</x:v>
      </x:c>
      <x:c r="P96" s="2" t="n">
        <x:f>IF($A96="",0,IF(COUNTIF($F$96:F96,4)&gt;0,P95+1,0))</x:f>
        <x:v>0</x:v>
      </x:c>
      <x:c r="Q96" s="2" t="n">
        <x:f>IF($A96="",0,IF(COUNTIF($F$96:F96,5)&gt;0,Q95+1,0))</x:f>
        <x:v>0</x:v>
      </x:c>
      <x:c r="R96" s="2" t="n">
        <x:f>IF($A96="",0,IF(COUNTIF($F$96:F96,6)&gt;0,R95+1,0))</x:f>
        <x:v>0</x:v>
      </x:c>
    </x:row>
    <x:row r="97" ht="24" customHeight="1">
      <x:c r="A97" s="15" t="n">
        <x:f>'設定'!X16</x:f>
        <x:v>46288</x:v>
      </x:c>
      <x:c r="B97" s="2" t="n">
        <x:f>23</x:f>
        <x:v>23</x:v>
      </x:c>
      <x:c r="C97" s="2" t="str">
        <x:f>"早"</x:f>
        <x:v>早</x:v>
      </x:c>
      <x:c r="D97" s="2" t="n">
        <x:f>IF(AND('設定'!$B$21="入力OK",'設定'!X16&lt;&gt;"",'設定'!X17&gt;=2),1,0)</x:f>
        <x:v>1</x:v>
      </x:c>
      <x:c r="E97" s="2" t="str">
        <x:f>IF(D97=0,"",IF(F97=0,"不足",INDEX('設定'!$B$7:$B$12,F97)))</x:f>
        <x:v>スタッフA</x:v>
      </x:c>
      <x:c r="F97" s="2" t="n">
        <x:f>IF(D97=0,"",IF(MIN(G97:L97)&gt;=1000000,0,MATCH(MIN(G97:L97),G97:L97,0)))</x:f>
        <x:v>1</x:v>
      </x:c>
      <x:c r="G97" s="2" t="n">
        <x:f>IF(OR($D97=0,INDEX('希望休'!$B$7:$AF$12,1,$B97)&lt;&gt;"可",COUNTIFS($A$7:A96,$A97,$F$7:F96,1)&gt;0,COUNTIF($F$7:F96,1)&gt;='設定'!C7,M95&gt;='設定'!D7),1000000,COUNTIF($F$7:F96,1)*100+MOD(0+23+'設定'!$F$3,6))</x:f>
        <x:v>1405</x:v>
      </x:c>
      <x:c r="H97" s="2" t="n">
        <x:f>IF(OR($D97=0,INDEX('希望休'!$B$7:$AF$12,2,$B97)&lt;&gt;"可",COUNTIFS($A$7:A96,$A97,$F$7:F96,2)&gt;0,COUNTIF($F$7:F96,2)&gt;='設定'!C8,N95&gt;='設定'!D8),1000000,COUNTIF($F$7:F96,2)*100+MOD(1+23+'設定'!$F$3,6))</x:f>
        <x:v>1000000</x:v>
      </x:c>
      <x:c r="I97" s="2" t="n">
        <x:f>IF(OR($D97=0,INDEX('希望休'!$B$7:$AF$12,3,$B97)&lt;&gt;"可",COUNTIFS($A$7:A96,$A97,$F$7:F96,3)&gt;0,COUNTIF($F$7:F96,3)&gt;='設定'!C9,O95&gt;='設定'!D9),1000000,COUNTIF($F$7:F96,3)*100+MOD(2+23+'設定'!$F$3,6))</x:f>
        <x:v>1501</x:v>
      </x:c>
      <x:c r="J97" s="2" t="n">
        <x:f>IF(OR($D97=0,INDEX('希望休'!$B$7:$AF$12,4,$B97)&lt;&gt;"可",COUNTIFS($A$7:A96,$A97,$F$7:F96,4)&gt;0,COUNTIF($F$7:F96,4)&gt;='設定'!C10,P95&gt;='設定'!D10),1000000,COUNTIF($F$7:F96,4)*100+MOD(3+23+'設定'!$F$3,6))</x:f>
        <x:v>1502</x:v>
      </x:c>
      <x:c r="K97" s="2" t="n">
        <x:f>IF(OR($D97=0,INDEX('希望休'!$B$7:$AF$12,5,$B97)&lt;&gt;"可",COUNTIFS($A$7:A96,$A97,$F$7:F96,5)&gt;0,COUNTIF($F$7:F96,5)&gt;='設定'!C11,Q95&gt;='設定'!D11),1000000,COUNTIF($F$7:F96,5)*100+MOD(4+23+'設定'!$F$3,6))</x:f>
        <x:v>1503</x:v>
      </x:c>
      <x:c r="L97" s="2" t="n">
        <x:f>IF(OR($D97=0,INDEX('希望休'!$B$7:$AF$12,6,$B97)&lt;&gt;"可",COUNTIFS($A$7:A96,$A97,$F$7:F96,6)&gt;0,COUNTIF($F$7:F96,6)&gt;='設定'!C12,R95&gt;='設定'!D12),1000000,COUNTIF($F$7:F96,6)*100+MOD(5+23+'設定'!$F$3,6))</x:f>
        <x:v>1504</x:v>
      </x:c>
      <x:c r="M97" s="2" t="n">
        <x:f>IF($A97="",0,IF(COUNTIF($F$96:F97,1)&gt;0,M95+1,0))</x:f>
        <x:v>1</x:v>
      </x:c>
      <x:c r="N97" s="2" t="n">
        <x:f>IF($A97="",0,IF(COUNTIF($F$96:F97,2)&gt;0,N95+1,0))</x:f>
        <x:v>1</x:v>
      </x:c>
      <x:c r="O97" s="2" t="n">
        <x:f>IF($A97="",0,IF(COUNTIF($F$96:F97,3)&gt;0,O95+1,0))</x:f>
        <x:v>0</x:v>
      </x:c>
      <x:c r="P97" s="2" t="n">
        <x:f>IF($A97="",0,IF(COUNTIF($F$96:F97,4)&gt;0,P95+1,0))</x:f>
        <x:v>0</x:v>
      </x:c>
      <x:c r="Q97" s="2" t="n">
        <x:f>IF($A97="",0,IF(COUNTIF($F$96:F97,5)&gt;0,Q95+1,0))</x:f>
        <x:v>0</x:v>
      </x:c>
      <x:c r="R97" s="2" t="n">
        <x:f>IF($A97="",0,IF(COUNTIF($F$96:F97,6)&gt;0,R95+1,0))</x:f>
        <x:v>0</x:v>
      </x:c>
    </x:row>
    <x:row r="98" ht="24" customHeight="1">
      <x:c r="A98" s="15" t="n">
        <x:f>'設定'!X16</x:f>
        <x:v>46288</x:v>
      </x:c>
      <x:c r="B98" s="2" t="n">
        <x:f>23</x:f>
        <x:v>23</x:v>
      </x:c>
      <x:c r="C98" s="2" t="str">
        <x:f>"遅"</x:f>
        <x:v>遅</x:v>
      </x:c>
      <x:c r="D98" s="2" t="n">
        <x:f>IF(AND('設定'!$B$21="入力OK",'設定'!X16&lt;&gt;"",'設定'!X18&gt;=1),1,0)</x:f>
        <x:v>1</x:v>
      </x:c>
      <x:c r="E98" s="2" t="str">
        <x:f>IF(D98=0,"",IF(F98=0,"不足",INDEX('設定'!$B$7:$B$12,F98)))</x:f>
        <x:v>スタッフC</x:v>
      </x:c>
      <x:c r="F98" s="2" t="n">
        <x:f>IF(D98=0,"",IF(MIN(G98:L98)&gt;=1000000,0,MATCH(MIN(G98:L98),G98:L98,0)))</x:f>
        <x:v>3</x:v>
      </x:c>
      <x:c r="G98" s="2" t="n">
        <x:f>IF(OR($D98=0,INDEX('希望休'!$B$7:$AF$12,1,$B98)&lt;&gt;"可",COUNTIFS($A$7:A97,$A98,$F$7:F97,1)&gt;0,COUNTIF($F$7:F97,1)&gt;='設定'!C7,M95&gt;='設定'!D7),1000000,COUNTIF($F$7:F97,1)*100+MOD(0+23+'設定'!$F$3,6))</x:f>
        <x:v>1000000</x:v>
      </x:c>
      <x:c r="H98" s="2" t="n">
        <x:f>IF(OR($D98=0,INDEX('希望休'!$B$7:$AF$12,2,$B98)&lt;&gt;"可",COUNTIFS($A$7:A97,$A98,$F$7:F97,2)&gt;0,COUNTIF($F$7:F97,2)&gt;='設定'!C8,N95&gt;='設定'!D8),1000000,COUNTIF($F$7:F97,2)*100+MOD(1+23+'設定'!$F$3,6))</x:f>
        <x:v>1000000</x:v>
      </x:c>
      <x:c r="I98" s="2" t="n">
        <x:f>IF(OR($D98=0,INDEX('希望休'!$B$7:$AF$12,3,$B98)&lt;&gt;"可",COUNTIFS($A$7:A97,$A98,$F$7:F97,3)&gt;0,COUNTIF($F$7:F97,3)&gt;='設定'!C9,O95&gt;='設定'!D9),1000000,COUNTIF($F$7:F97,3)*100+MOD(2+23+'設定'!$F$3,6))</x:f>
        <x:v>1501</x:v>
      </x:c>
      <x:c r="J98" s="2" t="n">
        <x:f>IF(OR($D98=0,INDEX('希望休'!$B$7:$AF$12,4,$B98)&lt;&gt;"可",COUNTIFS($A$7:A97,$A98,$F$7:F97,4)&gt;0,COUNTIF($F$7:F97,4)&gt;='設定'!C10,P95&gt;='設定'!D10),1000000,COUNTIF($F$7:F97,4)*100+MOD(3+23+'設定'!$F$3,6))</x:f>
        <x:v>1502</x:v>
      </x:c>
      <x:c r="K98" s="2" t="n">
        <x:f>IF(OR($D98=0,INDEX('希望休'!$B$7:$AF$12,5,$B98)&lt;&gt;"可",COUNTIFS($A$7:A97,$A98,$F$7:F97,5)&gt;0,COUNTIF($F$7:F97,5)&gt;='設定'!C11,Q95&gt;='設定'!D11),1000000,COUNTIF($F$7:F97,5)*100+MOD(4+23+'設定'!$F$3,6))</x:f>
        <x:v>1503</x:v>
      </x:c>
      <x:c r="L98" s="2" t="n">
        <x:f>IF(OR($D98=0,INDEX('希望休'!$B$7:$AF$12,6,$B98)&lt;&gt;"可",COUNTIFS($A$7:A97,$A98,$F$7:F97,6)&gt;0,COUNTIF($F$7:F97,6)&gt;='設定'!C12,R95&gt;='設定'!D12),1000000,COUNTIF($F$7:F97,6)*100+MOD(5+23+'設定'!$F$3,6))</x:f>
        <x:v>1504</x:v>
      </x:c>
      <x:c r="M98" s="2" t="n">
        <x:f>IF($A98="",0,IF(COUNTIF($F$96:F98,1)&gt;0,M95+1,0))</x:f>
        <x:v>1</x:v>
      </x:c>
      <x:c r="N98" s="2" t="n">
        <x:f>IF($A98="",0,IF(COUNTIF($F$96:F98,2)&gt;0,N95+1,0))</x:f>
        <x:v>1</x:v>
      </x:c>
      <x:c r="O98" s="2" t="n">
        <x:f>IF($A98="",0,IF(COUNTIF($F$96:F98,3)&gt;0,O95+1,0))</x:f>
        <x:v>3</x:v>
      </x:c>
      <x:c r="P98" s="2" t="n">
        <x:f>IF($A98="",0,IF(COUNTIF($F$96:F98,4)&gt;0,P95+1,0))</x:f>
        <x:v>0</x:v>
      </x:c>
      <x:c r="Q98" s="2" t="n">
        <x:f>IF($A98="",0,IF(COUNTIF($F$96:F98,5)&gt;0,Q95+1,0))</x:f>
        <x:v>0</x:v>
      </x:c>
      <x:c r="R98" s="2" t="n">
        <x:f>IF($A98="",0,IF(COUNTIF($F$96:F98,6)&gt;0,R95+1,0))</x:f>
        <x:v>0</x:v>
      </x:c>
    </x:row>
    <x:row r="99" ht="24" customHeight="1">
      <x:c r="A99" s="15" t="n">
        <x:f>'設定'!X16</x:f>
        <x:v>46288</x:v>
      </x:c>
      <x:c r="B99" s="2" t="n">
        <x:f>23</x:f>
        <x:v>23</x:v>
      </x:c>
      <x:c r="C99" s="2" t="str">
        <x:f>"遅"</x:f>
        <x:v>遅</x:v>
      </x:c>
      <x:c r="D99" s="2" t="n">
        <x:f>IF(AND('設定'!$B$21="入力OK",'設定'!X16&lt;&gt;"",'設定'!X18&gt;=2),1,0)</x:f>
        <x:v>1</x:v>
      </x:c>
      <x:c r="E99" s="2" t="str">
        <x:f>IF(D99=0,"",IF(F99=0,"不足",INDEX('設定'!$B$7:$B$12,F99)))</x:f>
        <x:v>スタッフD</x:v>
      </x:c>
      <x:c r="F99" s="2" t="n">
        <x:f>IF(D99=0,"",IF(MIN(G99:L99)&gt;=1000000,0,MATCH(MIN(G99:L99),G99:L99,0)))</x:f>
        <x:v>4</x:v>
      </x:c>
      <x:c r="G99" s="2" t="n">
        <x:f>IF(OR($D99=0,INDEX('希望休'!$B$7:$AF$12,1,$B99)&lt;&gt;"可",COUNTIFS($A$7:A98,$A99,$F$7:F98,1)&gt;0,COUNTIF($F$7:F98,1)&gt;='設定'!C7,M95&gt;='設定'!D7),1000000,COUNTIF($F$7:F98,1)*100+MOD(0+23+'設定'!$F$3,6))</x:f>
        <x:v>1000000</x:v>
      </x:c>
      <x:c r="H99" s="2" t="n">
        <x:f>IF(OR($D99=0,INDEX('希望休'!$B$7:$AF$12,2,$B99)&lt;&gt;"可",COUNTIFS($A$7:A98,$A99,$F$7:F98,2)&gt;0,COUNTIF($F$7:F98,2)&gt;='設定'!C8,N95&gt;='設定'!D8),1000000,COUNTIF($F$7:F98,2)*100+MOD(1+23+'設定'!$F$3,6))</x:f>
        <x:v>1000000</x:v>
      </x:c>
      <x:c r="I99" s="2" t="n">
        <x:f>IF(OR($D99=0,INDEX('希望休'!$B$7:$AF$12,3,$B99)&lt;&gt;"可",COUNTIFS($A$7:A98,$A99,$F$7:F98,3)&gt;0,COUNTIF($F$7:F98,3)&gt;='設定'!C9,O95&gt;='設定'!D9),1000000,COUNTIF($F$7:F98,3)*100+MOD(2+23+'設定'!$F$3,6))</x:f>
        <x:v>1000000</x:v>
      </x:c>
      <x:c r="J99" s="2" t="n">
        <x:f>IF(OR($D99=0,INDEX('希望休'!$B$7:$AF$12,4,$B99)&lt;&gt;"可",COUNTIFS($A$7:A98,$A99,$F$7:F98,4)&gt;0,COUNTIF($F$7:F98,4)&gt;='設定'!C10,P95&gt;='設定'!D10),1000000,COUNTIF($F$7:F98,4)*100+MOD(3+23+'設定'!$F$3,6))</x:f>
        <x:v>1502</x:v>
      </x:c>
      <x:c r="K99" s="2" t="n">
        <x:f>IF(OR($D99=0,INDEX('希望休'!$B$7:$AF$12,5,$B99)&lt;&gt;"可",COUNTIFS($A$7:A98,$A99,$F$7:F98,5)&gt;0,COUNTIF($F$7:F98,5)&gt;='設定'!C11,Q95&gt;='設定'!D11),1000000,COUNTIF($F$7:F98,5)*100+MOD(4+23+'設定'!$F$3,6))</x:f>
        <x:v>1503</x:v>
      </x:c>
      <x:c r="L99" s="2" t="n">
        <x:f>IF(OR($D99=0,INDEX('希望休'!$B$7:$AF$12,6,$B99)&lt;&gt;"可",COUNTIFS($A$7:A98,$A99,$F$7:F98,6)&gt;0,COUNTIF($F$7:F98,6)&gt;='設定'!C12,R95&gt;='設定'!D12),1000000,COUNTIF($F$7:F98,6)*100+MOD(5+23+'設定'!$F$3,6))</x:f>
        <x:v>1504</x:v>
      </x:c>
      <x:c r="M99" s="2" t="n">
        <x:f>IF($A99="",0,IF(COUNTIF($F$96:F99,1)&gt;0,M95+1,0))</x:f>
        <x:v>1</x:v>
      </x:c>
      <x:c r="N99" s="2" t="n">
        <x:f>IF($A99="",0,IF(COUNTIF($F$96:F99,2)&gt;0,N95+1,0))</x:f>
        <x:v>1</x:v>
      </x:c>
      <x:c r="O99" s="2" t="n">
        <x:f>IF($A99="",0,IF(COUNTIF($F$96:F99,3)&gt;0,O95+1,0))</x:f>
        <x:v>3</x:v>
      </x:c>
      <x:c r="P99" s="2" t="n">
        <x:f>IF($A99="",0,IF(COUNTIF($F$96:F99,4)&gt;0,P95+1,0))</x:f>
        <x:v>4</x:v>
      </x:c>
      <x:c r="Q99" s="2" t="n">
        <x:f>IF($A99="",0,IF(COUNTIF($F$96:F99,5)&gt;0,Q95+1,0))</x:f>
        <x:v>0</x:v>
      </x:c>
      <x:c r="R99" s="2" t="n">
        <x:f>IF($A99="",0,IF(COUNTIF($F$96:F99,6)&gt;0,R95+1,0))</x:f>
        <x:v>0</x:v>
      </x:c>
    </x:row>
    <x:row r="100" ht="24" customHeight="1">
      <x:c r="A100" s="15" t="n">
        <x:f>'設定'!Y16</x:f>
        <x:v>46289</x:v>
      </x:c>
      <x:c r="B100" s="2" t="n">
        <x:f>24</x:f>
        <x:v>24</x:v>
      </x:c>
      <x:c r="C100" s="2" t="str">
        <x:f>"早"</x:f>
        <x:v>早</x:v>
      </x:c>
      <x:c r="D100" s="2" t="n">
        <x:f>IF(AND('設定'!$B$21="入力OK",'設定'!Y16&lt;&gt;"",'設定'!Y17&gt;=1),1,0)</x:f>
        <x:v>1</x:v>
      </x:c>
      <x:c r="E100" s="2" t="str">
        <x:f>IF(D100=0,"",IF(F100=0,"不足",INDEX('設定'!$B$7:$B$12,F100)))</x:f>
        <x:v>スタッフA</x:v>
      </x:c>
      <x:c r="F100" s="2" t="n">
        <x:f>IF(D100=0,"",IF(MIN(G100:L100)&gt;=1000000,0,MATCH(MIN(G100:L100),G100:L100,0)))</x:f>
        <x:v>1</x:v>
      </x:c>
      <x:c r="G100" s="2" t="n">
        <x:f>IF(OR($D100=0,INDEX('希望休'!$B$7:$AF$12,1,$B100)&lt;&gt;"可",COUNTIFS($A$7:A99,$A100,$F$7:F99,1)&gt;0,COUNTIF($F$7:F99,1)&gt;='設定'!C7,M99&gt;='設定'!D7),1000000,COUNTIF($F$7:F99,1)*100+MOD(0+24+'設定'!$F$3,6))</x:f>
        <x:v>1500</x:v>
      </x:c>
      <x:c r="H100" s="2" t="n">
        <x:f>IF(OR($D100=0,INDEX('希望休'!$B$7:$AF$12,2,$B100)&lt;&gt;"可",COUNTIFS($A$7:A99,$A100,$F$7:F99,2)&gt;0,COUNTIF($F$7:F99,2)&gt;='設定'!C8,N99&gt;='設定'!D8),1000000,COUNTIF($F$7:F99,2)*100+MOD(1+24+'設定'!$F$3,6))</x:f>
        <x:v>1501</x:v>
      </x:c>
      <x:c r="I100" s="2" t="n">
        <x:f>IF(OR($D100=0,INDEX('希望休'!$B$7:$AF$12,3,$B100)&lt;&gt;"可",COUNTIFS($A$7:A99,$A100,$F$7:F99,3)&gt;0,COUNTIF($F$7:F99,3)&gt;='設定'!C9,O99&gt;='設定'!D9),1000000,COUNTIF($F$7:F99,3)*100+MOD(2+24+'設定'!$F$3,6))</x:f>
        <x:v>1602</x:v>
      </x:c>
      <x:c r="J100" s="2" t="n">
        <x:f>IF(OR($D100=0,INDEX('希望休'!$B$7:$AF$12,4,$B100)&lt;&gt;"可",COUNTIFS($A$7:A99,$A100,$F$7:F99,4)&gt;0,COUNTIF($F$7:F99,4)&gt;='設定'!C10,P99&gt;='設定'!D10),1000000,COUNTIF($F$7:F99,4)*100+MOD(3+24+'設定'!$F$3,6))</x:f>
        <x:v>1603</x:v>
      </x:c>
      <x:c r="K100" s="2" t="n">
        <x:f>IF(OR($D100=0,INDEX('希望休'!$B$7:$AF$12,5,$B100)&lt;&gt;"可",COUNTIFS($A$7:A99,$A100,$F$7:F99,5)&gt;0,COUNTIF($F$7:F99,5)&gt;='設定'!C11,Q99&gt;='設定'!D11),1000000,COUNTIF($F$7:F99,5)*100+MOD(4+24+'設定'!$F$3,6))</x:f>
        <x:v>1504</x:v>
      </x:c>
      <x:c r="L100" s="2" t="n">
        <x:f>IF(OR($D100=0,INDEX('希望休'!$B$7:$AF$12,6,$B100)&lt;&gt;"可",COUNTIFS($A$7:A99,$A100,$F$7:F99,6)&gt;0,COUNTIF($F$7:F99,6)&gt;='設定'!C12,R99&gt;='設定'!D12),1000000,COUNTIF($F$7:F99,6)*100+MOD(5+24+'設定'!$F$3,6))</x:f>
        <x:v>1505</x:v>
      </x:c>
      <x:c r="M100" s="2" t="n">
        <x:f>IF($A100="",0,IF(COUNTIF($F$100:F100,1)&gt;0,M99+1,0))</x:f>
        <x:v>2</x:v>
      </x:c>
      <x:c r="N100" s="2" t="n">
        <x:f>IF($A100="",0,IF(COUNTIF($F$100:F100,2)&gt;0,N99+1,0))</x:f>
        <x:v>0</x:v>
      </x:c>
      <x:c r="O100" s="2" t="n">
        <x:f>IF($A100="",0,IF(COUNTIF($F$100:F100,3)&gt;0,O99+1,0))</x:f>
        <x:v>0</x:v>
      </x:c>
      <x:c r="P100" s="2" t="n">
        <x:f>IF($A100="",0,IF(COUNTIF($F$100:F100,4)&gt;0,P99+1,0))</x:f>
        <x:v>0</x:v>
      </x:c>
      <x:c r="Q100" s="2" t="n">
        <x:f>IF($A100="",0,IF(COUNTIF($F$100:F100,5)&gt;0,Q99+1,0))</x:f>
        <x:v>0</x:v>
      </x:c>
      <x:c r="R100" s="2" t="n">
        <x:f>IF($A100="",0,IF(COUNTIF($F$100:F100,6)&gt;0,R99+1,0))</x:f>
        <x:v>0</x:v>
      </x:c>
    </x:row>
    <x:row r="101" ht="24" customHeight="1">
      <x:c r="A101" s="15" t="n">
        <x:f>'設定'!Y16</x:f>
        <x:v>46289</x:v>
      </x:c>
      <x:c r="B101" s="2" t="n">
        <x:f>24</x:f>
        <x:v>24</x:v>
      </x:c>
      <x:c r="C101" s="2" t="str">
        <x:f>"早"</x:f>
        <x:v>早</x:v>
      </x:c>
      <x:c r="D101" s="2" t="n">
        <x:f>IF(AND('設定'!$B$21="入力OK",'設定'!Y16&lt;&gt;"",'設定'!Y17&gt;=2),1,0)</x:f>
        <x:v>1</x:v>
      </x:c>
      <x:c r="E101" s="2" t="str">
        <x:f>IF(D101=0,"",IF(F101=0,"不足",INDEX('設定'!$B$7:$B$12,F101)))</x:f>
        <x:v>スタッフB</x:v>
      </x:c>
      <x:c r="F101" s="2" t="n">
        <x:f>IF(D101=0,"",IF(MIN(G101:L101)&gt;=1000000,0,MATCH(MIN(G101:L101),G101:L101,0)))</x:f>
        <x:v>2</x:v>
      </x:c>
      <x:c r="G101" s="2" t="n">
        <x:f>IF(OR($D101=0,INDEX('希望休'!$B$7:$AF$12,1,$B101)&lt;&gt;"可",COUNTIFS($A$7:A100,$A101,$F$7:F100,1)&gt;0,COUNTIF($F$7:F100,1)&gt;='設定'!C7,M99&gt;='設定'!D7),1000000,COUNTIF($F$7:F100,1)*100+MOD(0+24+'設定'!$F$3,6))</x:f>
        <x:v>1000000</x:v>
      </x:c>
      <x:c r="H101" s="2" t="n">
        <x:f>IF(OR($D101=0,INDEX('希望休'!$B$7:$AF$12,2,$B101)&lt;&gt;"可",COUNTIFS($A$7:A100,$A101,$F$7:F100,2)&gt;0,COUNTIF($F$7:F100,2)&gt;='設定'!C8,N99&gt;='設定'!D8),1000000,COUNTIF($F$7:F100,2)*100+MOD(1+24+'設定'!$F$3,6))</x:f>
        <x:v>1501</x:v>
      </x:c>
      <x:c r="I101" s="2" t="n">
        <x:f>IF(OR($D101=0,INDEX('希望休'!$B$7:$AF$12,3,$B101)&lt;&gt;"可",COUNTIFS($A$7:A100,$A101,$F$7:F100,3)&gt;0,COUNTIF($F$7:F100,3)&gt;='設定'!C9,O99&gt;='設定'!D9),1000000,COUNTIF($F$7:F100,3)*100+MOD(2+24+'設定'!$F$3,6))</x:f>
        <x:v>1602</x:v>
      </x:c>
      <x:c r="J101" s="2" t="n">
        <x:f>IF(OR($D101=0,INDEX('希望休'!$B$7:$AF$12,4,$B101)&lt;&gt;"可",COUNTIFS($A$7:A100,$A101,$F$7:F100,4)&gt;0,COUNTIF($F$7:F100,4)&gt;='設定'!C10,P99&gt;='設定'!D10),1000000,COUNTIF($F$7:F100,4)*100+MOD(3+24+'設定'!$F$3,6))</x:f>
        <x:v>1603</x:v>
      </x:c>
      <x:c r="K101" s="2" t="n">
        <x:f>IF(OR($D101=0,INDEX('希望休'!$B$7:$AF$12,5,$B101)&lt;&gt;"可",COUNTIFS($A$7:A100,$A101,$F$7:F100,5)&gt;0,COUNTIF($F$7:F100,5)&gt;='設定'!C11,Q99&gt;='設定'!D11),1000000,COUNTIF($F$7:F100,5)*100+MOD(4+24+'設定'!$F$3,6))</x:f>
        <x:v>1504</x:v>
      </x:c>
      <x:c r="L101" s="2" t="n">
        <x:f>IF(OR($D101=0,INDEX('希望休'!$B$7:$AF$12,6,$B101)&lt;&gt;"可",COUNTIFS($A$7:A100,$A101,$F$7:F100,6)&gt;0,COUNTIF($F$7:F100,6)&gt;='設定'!C12,R99&gt;='設定'!D12),1000000,COUNTIF($F$7:F100,6)*100+MOD(5+24+'設定'!$F$3,6))</x:f>
        <x:v>1505</x:v>
      </x:c>
      <x:c r="M101" s="2" t="n">
        <x:f>IF($A101="",0,IF(COUNTIF($F$100:F101,1)&gt;0,M99+1,0))</x:f>
        <x:v>2</x:v>
      </x:c>
      <x:c r="N101" s="2" t="n">
        <x:f>IF($A101="",0,IF(COUNTIF($F$100:F101,2)&gt;0,N99+1,0))</x:f>
        <x:v>2</x:v>
      </x:c>
      <x:c r="O101" s="2" t="n">
        <x:f>IF($A101="",0,IF(COUNTIF($F$100:F101,3)&gt;0,O99+1,0))</x:f>
        <x:v>0</x:v>
      </x:c>
      <x:c r="P101" s="2" t="n">
        <x:f>IF($A101="",0,IF(COUNTIF($F$100:F101,4)&gt;0,P99+1,0))</x:f>
        <x:v>0</x:v>
      </x:c>
      <x:c r="Q101" s="2" t="n">
        <x:f>IF($A101="",0,IF(COUNTIF($F$100:F101,5)&gt;0,Q99+1,0))</x:f>
        <x:v>0</x:v>
      </x:c>
      <x:c r="R101" s="2" t="n">
        <x:f>IF($A101="",0,IF(COUNTIF($F$100:F101,6)&gt;0,R99+1,0))</x:f>
        <x:v>0</x:v>
      </x:c>
    </x:row>
    <x:row r="102" ht="24" customHeight="1">
      <x:c r="A102" s="15" t="n">
        <x:f>'設定'!Y16</x:f>
        <x:v>46289</x:v>
      </x:c>
      <x:c r="B102" s="2" t="n">
        <x:f>24</x:f>
        <x:v>24</x:v>
      </x:c>
      <x:c r="C102" s="2" t="str">
        <x:f>"遅"</x:f>
        <x:v>遅</x:v>
      </x:c>
      <x:c r="D102" s="2" t="n">
        <x:f>IF(AND('設定'!$B$21="入力OK",'設定'!Y16&lt;&gt;"",'設定'!Y18&gt;=1),1,0)</x:f>
        <x:v>1</x:v>
      </x:c>
      <x:c r="E102" s="2" t="str">
        <x:f>IF(D102=0,"",IF(F102=0,"不足",INDEX('設定'!$B$7:$B$12,F102)))</x:f>
        <x:v>スタッフE</x:v>
      </x:c>
      <x:c r="F102" s="2" t="n">
        <x:f>IF(D102=0,"",IF(MIN(G102:L102)&gt;=1000000,0,MATCH(MIN(G102:L102),G102:L102,0)))</x:f>
        <x:v>5</x:v>
      </x:c>
      <x:c r="G102" s="2" t="n">
        <x:f>IF(OR($D102=0,INDEX('希望休'!$B$7:$AF$12,1,$B102)&lt;&gt;"可",COUNTIFS($A$7:A101,$A102,$F$7:F101,1)&gt;0,COUNTIF($F$7:F101,1)&gt;='設定'!C7,M99&gt;='設定'!D7),1000000,COUNTIF($F$7:F101,1)*100+MOD(0+24+'設定'!$F$3,6))</x:f>
        <x:v>1000000</x:v>
      </x:c>
      <x:c r="H102" s="2" t="n">
        <x:f>IF(OR($D102=0,INDEX('希望休'!$B$7:$AF$12,2,$B102)&lt;&gt;"可",COUNTIFS($A$7:A101,$A102,$F$7:F101,2)&gt;0,COUNTIF($F$7:F101,2)&gt;='設定'!C8,N99&gt;='設定'!D8),1000000,COUNTIF($F$7:F101,2)*100+MOD(1+24+'設定'!$F$3,6))</x:f>
        <x:v>1000000</x:v>
      </x:c>
      <x:c r="I102" s="2" t="n">
        <x:f>IF(OR($D102=0,INDEX('希望休'!$B$7:$AF$12,3,$B102)&lt;&gt;"可",COUNTIFS($A$7:A101,$A102,$F$7:F101,3)&gt;0,COUNTIF($F$7:F101,3)&gt;='設定'!C9,O99&gt;='設定'!D9),1000000,COUNTIF($F$7:F101,3)*100+MOD(2+24+'設定'!$F$3,6))</x:f>
        <x:v>1602</x:v>
      </x:c>
      <x:c r="J102" s="2" t="n">
        <x:f>IF(OR($D102=0,INDEX('希望休'!$B$7:$AF$12,4,$B102)&lt;&gt;"可",COUNTIFS($A$7:A101,$A102,$F$7:F101,4)&gt;0,COUNTIF($F$7:F101,4)&gt;='設定'!C10,P99&gt;='設定'!D10),1000000,COUNTIF($F$7:F101,4)*100+MOD(3+24+'設定'!$F$3,6))</x:f>
        <x:v>1603</x:v>
      </x:c>
      <x:c r="K102" s="2" t="n">
        <x:f>IF(OR($D102=0,INDEX('希望休'!$B$7:$AF$12,5,$B102)&lt;&gt;"可",COUNTIFS($A$7:A101,$A102,$F$7:F101,5)&gt;0,COUNTIF($F$7:F101,5)&gt;='設定'!C11,Q99&gt;='設定'!D11),1000000,COUNTIF($F$7:F101,5)*100+MOD(4+24+'設定'!$F$3,6))</x:f>
        <x:v>1504</x:v>
      </x:c>
      <x:c r="L102" s="2" t="n">
        <x:f>IF(OR($D102=0,INDEX('希望休'!$B$7:$AF$12,6,$B102)&lt;&gt;"可",COUNTIFS($A$7:A101,$A102,$F$7:F101,6)&gt;0,COUNTIF($F$7:F101,6)&gt;='設定'!C12,R99&gt;='設定'!D12),1000000,COUNTIF($F$7:F101,6)*100+MOD(5+24+'設定'!$F$3,6))</x:f>
        <x:v>1505</x:v>
      </x:c>
      <x:c r="M102" s="2" t="n">
        <x:f>IF($A102="",0,IF(COUNTIF($F$100:F102,1)&gt;0,M99+1,0))</x:f>
        <x:v>2</x:v>
      </x:c>
      <x:c r="N102" s="2" t="n">
        <x:f>IF($A102="",0,IF(COUNTIF($F$100:F102,2)&gt;0,N99+1,0))</x:f>
        <x:v>2</x:v>
      </x:c>
      <x:c r="O102" s="2" t="n">
        <x:f>IF($A102="",0,IF(COUNTIF($F$100:F102,3)&gt;0,O99+1,0))</x:f>
        <x:v>0</x:v>
      </x:c>
      <x:c r="P102" s="2" t="n">
        <x:f>IF($A102="",0,IF(COUNTIF($F$100:F102,4)&gt;0,P99+1,0))</x:f>
        <x:v>0</x:v>
      </x:c>
      <x:c r="Q102" s="2" t="n">
        <x:f>IF($A102="",0,IF(COUNTIF($F$100:F102,5)&gt;0,Q99+1,0))</x:f>
        <x:v>1</x:v>
      </x:c>
      <x:c r="R102" s="2" t="n">
        <x:f>IF($A102="",0,IF(COUNTIF($F$100:F102,6)&gt;0,R99+1,0))</x:f>
        <x:v>0</x:v>
      </x:c>
    </x:row>
    <x:row r="103" ht="24" customHeight="1">
      <x:c r="A103" s="15" t="n">
        <x:f>'設定'!Y16</x:f>
        <x:v>46289</x:v>
      </x:c>
      <x:c r="B103" s="2" t="n">
        <x:f>24</x:f>
        <x:v>24</x:v>
      </x:c>
      <x:c r="C103" s="2" t="str">
        <x:f>"遅"</x:f>
        <x:v>遅</x:v>
      </x:c>
      <x:c r="D103" s="2" t="n">
        <x:f>IF(AND('設定'!$B$21="入力OK",'設定'!Y16&lt;&gt;"",'設定'!Y18&gt;=2),1,0)</x:f>
        <x:v>1</x:v>
      </x:c>
      <x:c r="E103" s="2" t="str">
        <x:f>IF(D103=0,"",IF(F103=0,"不足",INDEX('設定'!$B$7:$B$12,F103)))</x:f>
        <x:v>スタッフF</x:v>
      </x:c>
      <x:c r="F103" s="2" t="n">
        <x:f>IF(D103=0,"",IF(MIN(G103:L103)&gt;=1000000,0,MATCH(MIN(G103:L103),G103:L103,0)))</x:f>
        <x:v>6</x:v>
      </x:c>
      <x:c r="G103" s="2" t="n">
        <x:f>IF(OR($D103=0,INDEX('希望休'!$B$7:$AF$12,1,$B103)&lt;&gt;"可",COUNTIFS($A$7:A102,$A103,$F$7:F102,1)&gt;0,COUNTIF($F$7:F102,1)&gt;='設定'!C7,M99&gt;='設定'!D7),1000000,COUNTIF($F$7:F102,1)*100+MOD(0+24+'設定'!$F$3,6))</x:f>
        <x:v>1000000</x:v>
      </x:c>
      <x:c r="H103" s="2" t="n">
        <x:f>IF(OR($D103=0,INDEX('希望休'!$B$7:$AF$12,2,$B103)&lt;&gt;"可",COUNTIFS($A$7:A102,$A103,$F$7:F102,2)&gt;0,COUNTIF($F$7:F102,2)&gt;='設定'!C8,N99&gt;='設定'!D8),1000000,COUNTIF($F$7:F102,2)*100+MOD(1+24+'設定'!$F$3,6))</x:f>
        <x:v>1000000</x:v>
      </x:c>
      <x:c r="I103" s="2" t="n">
        <x:f>IF(OR($D103=0,INDEX('希望休'!$B$7:$AF$12,3,$B103)&lt;&gt;"可",COUNTIFS($A$7:A102,$A103,$F$7:F102,3)&gt;0,COUNTIF($F$7:F102,3)&gt;='設定'!C9,O99&gt;='設定'!D9),1000000,COUNTIF($F$7:F102,3)*100+MOD(2+24+'設定'!$F$3,6))</x:f>
        <x:v>1602</x:v>
      </x:c>
      <x:c r="J103" s="2" t="n">
        <x:f>IF(OR($D103=0,INDEX('希望休'!$B$7:$AF$12,4,$B103)&lt;&gt;"可",COUNTIFS($A$7:A102,$A103,$F$7:F102,4)&gt;0,COUNTIF($F$7:F102,4)&gt;='設定'!C10,P99&gt;='設定'!D10),1000000,COUNTIF($F$7:F102,4)*100+MOD(3+24+'設定'!$F$3,6))</x:f>
        <x:v>1603</x:v>
      </x:c>
      <x:c r="K103" s="2" t="n">
        <x:f>IF(OR($D103=0,INDEX('希望休'!$B$7:$AF$12,5,$B103)&lt;&gt;"可",COUNTIFS($A$7:A102,$A103,$F$7:F102,5)&gt;0,COUNTIF($F$7:F102,5)&gt;='設定'!C11,Q99&gt;='設定'!D11),1000000,COUNTIF($F$7:F102,5)*100+MOD(4+24+'設定'!$F$3,6))</x:f>
        <x:v>1000000</x:v>
      </x:c>
      <x:c r="L103" s="2" t="n">
        <x:f>IF(OR($D103=0,INDEX('希望休'!$B$7:$AF$12,6,$B103)&lt;&gt;"可",COUNTIFS($A$7:A102,$A103,$F$7:F102,6)&gt;0,COUNTIF($F$7:F102,6)&gt;='設定'!C12,R99&gt;='設定'!D12),1000000,COUNTIF($F$7:F102,6)*100+MOD(5+24+'設定'!$F$3,6))</x:f>
        <x:v>1505</x:v>
      </x:c>
      <x:c r="M103" s="2" t="n">
        <x:f>IF($A103="",0,IF(COUNTIF($F$100:F103,1)&gt;0,M99+1,0))</x:f>
        <x:v>2</x:v>
      </x:c>
      <x:c r="N103" s="2" t="n">
        <x:f>IF($A103="",0,IF(COUNTIF($F$100:F103,2)&gt;0,N99+1,0))</x:f>
        <x:v>2</x:v>
      </x:c>
      <x:c r="O103" s="2" t="n">
        <x:f>IF($A103="",0,IF(COUNTIF($F$100:F103,3)&gt;0,O99+1,0))</x:f>
        <x:v>0</x:v>
      </x:c>
      <x:c r="P103" s="2" t="n">
        <x:f>IF($A103="",0,IF(COUNTIF($F$100:F103,4)&gt;0,P99+1,0))</x:f>
        <x:v>0</x:v>
      </x:c>
      <x:c r="Q103" s="2" t="n">
        <x:f>IF($A103="",0,IF(COUNTIF($F$100:F103,5)&gt;0,Q99+1,0))</x:f>
        <x:v>1</x:v>
      </x:c>
      <x:c r="R103" s="2" t="n">
        <x:f>IF($A103="",0,IF(COUNTIF($F$100:F103,6)&gt;0,R99+1,0))</x:f>
        <x:v>1</x:v>
      </x:c>
    </x:row>
    <x:row r="104" ht="24" customHeight="1">
      <x:c r="A104" s="15" t="n">
        <x:f>'設定'!Z16</x:f>
        <x:v>46290</x:v>
      </x:c>
      <x:c r="B104" s="2" t="n">
        <x:f>25</x:f>
        <x:v>25</x:v>
      </x:c>
      <x:c r="C104" s="2" t="str">
        <x:f>"早"</x:f>
        <x:v>早</x:v>
      </x:c>
      <x:c r="D104" s="2" t="n">
        <x:f>IF(AND('設定'!$B$21="入力OK",'設定'!Z16&lt;&gt;"",'設定'!Z17&gt;=1),1,0)</x:f>
        <x:v>1</x:v>
      </x:c>
      <x:c r="E104" s="2" t="str">
        <x:f>IF(D104=0,"",IF(F104=0,"不足",INDEX('設定'!$B$7:$B$12,F104)))</x:f>
        <x:v>スタッフF</x:v>
      </x:c>
      <x:c r="F104" s="2" t="n">
        <x:f>IF(D104=0,"",IF(MIN(G104:L104)&gt;=1000000,0,MATCH(MIN(G104:L104),G104:L104,0)))</x:f>
        <x:v>6</x:v>
      </x:c>
      <x:c r="G104" s="2" t="n">
        <x:f>IF(OR($D104=0,INDEX('希望休'!$B$7:$AF$12,1,$B104)&lt;&gt;"可",COUNTIFS($A$7:A103,$A104,$F$7:F103,1)&gt;0,COUNTIF($F$7:F103,1)&gt;='設定'!C7,M103&gt;='設定'!D7),1000000,COUNTIF($F$7:F103,1)*100+MOD(0+25+'設定'!$F$3,6))</x:f>
        <x:v>1601</x:v>
      </x:c>
      <x:c r="H104" s="2" t="n">
        <x:f>IF(OR($D104=0,INDEX('希望休'!$B$7:$AF$12,2,$B104)&lt;&gt;"可",COUNTIFS($A$7:A103,$A104,$F$7:F103,2)&gt;0,COUNTIF($F$7:F103,2)&gt;='設定'!C8,N103&gt;='設定'!D8),1000000,COUNTIF($F$7:F103,2)*100+MOD(1+25+'設定'!$F$3,6))</x:f>
        <x:v>1602</x:v>
      </x:c>
      <x:c r="I104" s="2" t="n">
        <x:f>IF(OR($D104=0,INDEX('希望休'!$B$7:$AF$12,3,$B104)&lt;&gt;"可",COUNTIFS($A$7:A103,$A104,$F$7:F103,3)&gt;0,COUNTIF($F$7:F103,3)&gt;='設定'!C9,O103&gt;='設定'!D9),1000000,COUNTIF($F$7:F103,3)*100+MOD(2+25+'設定'!$F$3,6))</x:f>
        <x:v>1603</x:v>
      </x:c>
      <x:c r="J104" s="2" t="n">
        <x:f>IF(OR($D104=0,INDEX('希望休'!$B$7:$AF$12,4,$B104)&lt;&gt;"可",COUNTIFS($A$7:A103,$A104,$F$7:F103,4)&gt;0,COUNTIF($F$7:F103,4)&gt;='設定'!C10,P103&gt;='設定'!D10),1000000,COUNTIF($F$7:F103,4)*100+MOD(3+25+'設定'!$F$3,6))</x:f>
        <x:v>1604</x:v>
      </x:c>
      <x:c r="K104" s="2" t="n">
        <x:f>IF(OR($D104=0,INDEX('希望休'!$B$7:$AF$12,5,$B104)&lt;&gt;"可",COUNTIFS($A$7:A103,$A104,$F$7:F103,5)&gt;0,COUNTIF($F$7:F103,5)&gt;='設定'!C11,Q103&gt;='設定'!D11),1000000,COUNTIF($F$7:F103,5)*100+MOD(4+25+'設定'!$F$3,6))</x:f>
        <x:v>1605</x:v>
      </x:c>
      <x:c r="L104" s="2" t="n">
        <x:f>IF(OR($D104=0,INDEX('希望休'!$B$7:$AF$12,6,$B104)&lt;&gt;"可",COUNTIFS($A$7:A103,$A104,$F$7:F103,6)&gt;0,COUNTIF($F$7:F103,6)&gt;='設定'!C12,R103&gt;='設定'!D12),1000000,COUNTIF($F$7:F103,6)*100+MOD(5+25+'設定'!$F$3,6))</x:f>
        <x:v>1600</x:v>
      </x:c>
      <x:c r="M104" s="2" t="n">
        <x:f>IF($A104="",0,IF(COUNTIF($F$104:F104,1)&gt;0,M103+1,0))</x:f>
        <x:v>0</x:v>
      </x:c>
      <x:c r="N104" s="2" t="n">
        <x:f>IF($A104="",0,IF(COUNTIF($F$104:F104,2)&gt;0,N103+1,0))</x:f>
        <x:v>0</x:v>
      </x:c>
      <x:c r="O104" s="2" t="n">
        <x:f>IF($A104="",0,IF(COUNTIF($F$104:F104,3)&gt;0,O103+1,0))</x:f>
        <x:v>0</x:v>
      </x:c>
      <x:c r="P104" s="2" t="n">
        <x:f>IF($A104="",0,IF(COUNTIF($F$104:F104,4)&gt;0,P103+1,0))</x:f>
        <x:v>0</x:v>
      </x:c>
      <x:c r="Q104" s="2" t="n">
        <x:f>IF($A104="",0,IF(COUNTIF($F$104:F104,5)&gt;0,Q103+1,0))</x:f>
        <x:v>0</x:v>
      </x:c>
      <x:c r="R104" s="2" t="n">
        <x:f>IF($A104="",0,IF(COUNTIF($F$104:F104,6)&gt;0,R103+1,0))</x:f>
        <x:v>2</x:v>
      </x:c>
    </x:row>
    <x:row r="105" ht="24" customHeight="1">
      <x:c r="A105" s="15" t="n">
        <x:f>'設定'!Z16</x:f>
        <x:v>46290</x:v>
      </x:c>
      <x:c r="B105" s="2" t="n">
        <x:f>25</x:f>
        <x:v>25</x:v>
      </x:c>
      <x:c r="C105" s="2" t="str">
        <x:f>"早"</x:f>
        <x:v>早</x:v>
      </x:c>
      <x:c r="D105" s="2" t="n">
        <x:f>IF(AND('設定'!$B$21="入力OK",'設定'!Z16&lt;&gt;"",'設定'!Z17&gt;=2),1,0)</x:f>
        <x:v>1</x:v>
      </x:c>
      <x:c r="E105" s="2" t="str">
        <x:f>IF(D105=0,"",IF(F105=0,"不足",INDEX('設定'!$B$7:$B$12,F105)))</x:f>
        <x:v>スタッフA</x:v>
      </x:c>
      <x:c r="F105" s="2" t="n">
        <x:f>IF(D105=0,"",IF(MIN(G105:L105)&gt;=1000000,0,MATCH(MIN(G105:L105),G105:L105,0)))</x:f>
        <x:v>1</x:v>
      </x:c>
      <x:c r="G105" s="2" t="n">
        <x:f>IF(OR($D105=0,INDEX('希望休'!$B$7:$AF$12,1,$B105)&lt;&gt;"可",COUNTIFS($A$7:A104,$A105,$F$7:F104,1)&gt;0,COUNTIF($F$7:F104,1)&gt;='設定'!C7,M103&gt;='設定'!D7),1000000,COUNTIF($F$7:F104,1)*100+MOD(0+25+'設定'!$F$3,6))</x:f>
        <x:v>1601</x:v>
      </x:c>
      <x:c r="H105" s="2" t="n">
        <x:f>IF(OR($D105=0,INDEX('希望休'!$B$7:$AF$12,2,$B105)&lt;&gt;"可",COUNTIFS($A$7:A104,$A105,$F$7:F104,2)&gt;0,COUNTIF($F$7:F104,2)&gt;='設定'!C8,N103&gt;='設定'!D8),1000000,COUNTIF($F$7:F104,2)*100+MOD(1+25+'設定'!$F$3,6))</x:f>
        <x:v>1602</x:v>
      </x:c>
      <x:c r="I105" s="2" t="n">
        <x:f>IF(OR($D105=0,INDEX('希望休'!$B$7:$AF$12,3,$B105)&lt;&gt;"可",COUNTIFS($A$7:A104,$A105,$F$7:F104,3)&gt;0,COUNTIF($F$7:F104,3)&gt;='設定'!C9,O103&gt;='設定'!D9),1000000,COUNTIF($F$7:F104,3)*100+MOD(2+25+'設定'!$F$3,6))</x:f>
        <x:v>1603</x:v>
      </x:c>
      <x:c r="J105" s="2" t="n">
        <x:f>IF(OR($D105=0,INDEX('希望休'!$B$7:$AF$12,4,$B105)&lt;&gt;"可",COUNTIFS($A$7:A104,$A105,$F$7:F104,4)&gt;0,COUNTIF($F$7:F104,4)&gt;='設定'!C10,P103&gt;='設定'!D10),1000000,COUNTIF($F$7:F104,4)*100+MOD(3+25+'設定'!$F$3,6))</x:f>
        <x:v>1604</x:v>
      </x:c>
      <x:c r="K105" s="2" t="n">
        <x:f>IF(OR($D105=0,INDEX('希望休'!$B$7:$AF$12,5,$B105)&lt;&gt;"可",COUNTIFS($A$7:A104,$A105,$F$7:F104,5)&gt;0,COUNTIF($F$7:F104,5)&gt;='設定'!C11,Q103&gt;='設定'!D11),1000000,COUNTIF($F$7:F104,5)*100+MOD(4+25+'設定'!$F$3,6))</x:f>
        <x:v>1605</x:v>
      </x:c>
      <x:c r="L105" s="2" t="n">
        <x:f>IF(OR($D105=0,INDEX('希望休'!$B$7:$AF$12,6,$B105)&lt;&gt;"可",COUNTIFS($A$7:A104,$A105,$F$7:F104,6)&gt;0,COUNTIF($F$7:F104,6)&gt;='設定'!C12,R103&gt;='設定'!D12),1000000,COUNTIF($F$7:F104,6)*100+MOD(5+25+'設定'!$F$3,6))</x:f>
        <x:v>1000000</x:v>
      </x:c>
      <x:c r="M105" s="2" t="n">
        <x:f>IF($A105="",0,IF(COUNTIF($F$104:F105,1)&gt;0,M103+1,0))</x:f>
        <x:v>3</x:v>
      </x:c>
      <x:c r="N105" s="2" t="n">
        <x:f>IF($A105="",0,IF(COUNTIF($F$104:F105,2)&gt;0,N103+1,0))</x:f>
        <x:v>0</x:v>
      </x:c>
      <x:c r="O105" s="2" t="n">
        <x:f>IF($A105="",0,IF(COUNTIF($F$104:F105,3)&gt;0,O103+1,0))</x:f>
        <x:v>0</x:v>
      </x:c>
      <x:c r="P105" s="2" t="n">
        <x:f>IF($A105="",0,IF(COUNTIF($F$104:F105,4)&gt;0,P103+1,0))</x:f>
        <x:v>0</x:v>
      </x:c>
      <x:c r="Q105" s="2" t="n">
        <x:f>IF($A105="",0,IF(COUNTIF($F$104:F105,5)&gt;0,Q103+1,0))</x:f>
        <x:v>0</x:v>
      </x:c>
      <x:c r="R105" s="2" t="n">
        <x:f>IF($A105="",0,IF(COUNTIF($F$104:F105,6)&gt;0,R103+1,0))</x:f>
        <x:v>2</x:v>
      </x:c>
    </x:row>
    <x:row r="106" ht="24" customHeight="1">
      <x:c r="A106" s="15" t="n">
        <x:f>'設定'!Z16</x:f>
        <x:v>46290</x:v>
      </x:c>
      <x:c r="B106" s="2" t="n">
        <x:f>25</x:f>
        <x:v>25</x:v>
      </x:c>
      <x:c r="C106" s="2" t="str">
        <x:f>"遅"</x:f>
        <x:v>遅</x:v>
      </x:c>
      <x:c r="D106" s="2" t="n">
        <x:f>IF(AND('設定'!$B$21="入力OK",'設定'!Z16&lt;&gt;"",'設定'!Z18&gt;=1),1,0)</x:f>
        <x:v>1</x:v>
      </x:c>
      <x:c r="E106" s="2" t="str">
        <x:f>IF(D106=0,"",IF(F106=0,"不足",INDEX('設定'!$B$7:$B$12,F106)))</x:f>
        <x:v>スタッフB</x:v>
      </x:c>
      <x:c r="F106" s="2" t="n">
        <x:f>IF(D106=0,"",IF(MIN(G106:L106)&gt;=1000000,0,MATCH(MIN(G106:L106),G106:L106,0)))</x:f>
        <x:v>2</x:v>
      </x:c>
      <x:c r="G106" s="2" t="n">
        <x:f>IF(OR($D106=0,INDEX('希望休'!$B$7:$AF$12,1,$B106)&lt;&gt;"可",COUNTIFS($A$7:A105,$A106,$F$7:F105,1)&gt;0,COUNTIF($F$7:F105,1)&gt;='設定'!C7,M103&gt;='設定'!D7),1000000,COUNTIF($F$7:F105,1)*100+MOD(0+25+'設定'!$F$3,6))</x:f>
        <x:v>1000000</x:v>
      </x:c>
      <x:c r="H106" s="2" t="n">
        <x:f>IF(OR($D106=0,INDEX('希望休'!$B$7:$AF$12,2,$B106)&lt;&gt;"可",COUNTIFS($A$7:A105,$A106,$F$7:F105,2)&gt;0,COUNTIF($F$7:F105,2)&gt;='設定'!C8,N103&gt;='設定'!D8),1000000,COUNTIF($F$7:F105,2)*100+MOD(1+25+'設定'!$F$3,6))</x:f>
        <x:v>1602</x:v>
      </x:c>
      <x:c r="I106" s="2" t="n">
        <x:f>IF(OR($D106=0,INDEX('希望休'!$B$7:$AF$12,3,$B106)&lt;&gt;"可",COUNTIFS($A$7:A105,$A106,$F$7:F105,3)&gt;0,COUNTIF($F$7:F105,3)&gt;='設定'!C9,O103&gt;='設定'!D9),1000000,COUNTIF($F$7:F105,3)*100+MOD(2+25+'設定'!$F$3,6))</x:f>
        <x:v>1603</x:v>
      </x:c>
      <x:c r="J106" s="2" t="n">
        <x:f>IF(OR($D106=0,INDEX('希望休'!$B$7:$AF$12,4,$B106)&lt;&gt;"可",COUNTIFS($A$7:A105,$A106,$F$7:F105,4)&gt;0,COUNTIF($F$7:F105,4)&gt;='設定'!C10,P103&gt;='設定'!D10),1000000,COUNTIF($F$7:F105,4)*100+MOD(3+25+'設定'!$F$3,6))</x:f>
        <x:v>1604</x:v>
      </x:c>
      <x:c r="K106" s="2" t="n">
        <x:f>IF(OR($D106=0,INDEX('希望休'!$B$7:$AF$12,5,$B106)&lt;&gt;"可",COUNTIFS($A$7:A105,$A106,$F$7:F105,5)&gt;0,COUNTIF($F$7:F105,5)&gt;='設定'!C11,Q103&gt;='設定'!D11),1000000,COUNTIF($F$7:F105,5)*100+MOD(4+25+'設定'!$F$3,6))</x:f>
        <x:v>1605</x:v>
      </x:c>
      <x:c r="L106" s="2" t="n">
        <x:f>IF(OR($D106=0,INDEX('希望休'!$B$7:$AF$12,6,$B106)&lt;&gt;"可",COUNTIFS($A$7:A105,$A106,$F$7:F105,6)&gt;0,COUNTIF($F$7:F105,6)&gt;='設定'!C12,R103&gt;='設定'!D12),1000000,COUNTIF($F$7:F105,6)*100+MOD(5+25+'設定'!$F$3,6))</x:f>
        <x:v>1000000</x:v>
      </x:c>
      <x:c r="M106" s="2" t="n">
        <x:f>IF($A106="",0,IF(COUNTIF($F$104:F106,1)&gt;0,M103+1,0))</x:f>
        <x:v>3</x:v>
      </x:c>
      <x:c r="N106" s="2" t="n">
        <x:f>IF($A106="",0,IF(COUNTIF($F$104:F106,2)&gt;0,N103+1,0))</x:f>
        <x:v>3</x:v>
      </x:c>
      <x:c r="O106" s="2" t="n">
        <x:f>IF($A106="",0,IF(COUNTIF($F$104:F106,3)&gt;0,O103+1,0))</x:f>
        <x:v>0</x:v>
      </x:c>
      <x:c r="P106" s="2" t="n">
        <x:f>IF($A106="",0,IF(COUNTIF($F$104:F106,4)&gt;0,P103+1,0))</x:f>
        <x:v>0</x:v>
      </x:c>
      <x:c r="Q106" s="2" t="n">
        <x:f>IF($A106="",0,IF(COUNTIF($F$104:F106,5)&gt;0,Q103+1,0))</x:f>
        <x:v>0</x:v>
      </x:c>
      <x:c r="R106" s="2" t="n">
        <x:f>IF($A106="",0,IF(COUNTIF($F$104:F106,6)&gt;0,R103+1,0))</x:f>
        <x:v>2</x:v>
      </x:c>
    </x:row>
    <x:row r="107" ht="24" customHeight="1">
      <x:c r="A107" s="15" t="n">
        <x:f>'設定'!Z16</x:f>
        <x:v>46290</x:v>
      </x:c>
      <x:c r="B107" s="2" t="n">
        <x:f>25</x:f>
        <x:v>25</x:v>
      </x:c>
      <x:c r="C107" s="2" t="str">
        <x:f>"遅"</x:f>
        <x:v>遅</x:v>
      </x:c>
      <x:c r="D107" s="2" t="n">
        <x:f>IF(AND('設定'!$B$21="入力OK",'設定'!Z16&lt;&gt;"",'設定'!Z18&gt;=2),1,0)</x:f>
        <x:v>1</x:v>
      </x:c>
      <x:c r="E107" s="2" t="str">
        <x:f>IF(D107=0,"",IF(F107=0,"不足",INDEX('設定'!$B$7:$B$12,F107)))</x:f>
        <x:v>スタッフC</x:v>
      </x:c>
      <x:c r="F107" s="2" t="n">
        <x:f>IF(D107=0,"",IF(MIN(G107:L107)&gt;=1000000,0,MATCH(MIN(G107:L107),G107:L107,0)))</x:f>
        <x:v>3</x:v>
      </x:c>
      <x:c r="G107" s="2" t="n">
        <x:f>IF(OR($D107=0,INDEX('希望休'!$B$7:$AF$12,1,$B107)&lt;&gt;"可",COUNTIFS($A$7:A106,$A107,$F$7:F106,1)&gt;0,COUNTIF($F$7:F106,1)&gt;='設定'!C7,M103&gt;='設定'!D7),1000000,COUNTIF($F$7:F106,1)*100+MOD(0+25+'設定'!$F$3,6))</x:f>
        <x:v>1000000</x:v>
      </x:c>
      <x:c r="H107" s="2" t="n">
        <x:f>IF(OR($D107=0,INDEX('希望休'!$B$7:$AF$12,2,$B107)&lt;&gt;"可",COUNTIFS($A$7:A106,$A107,$F$7:F106,2)&gt;0,COUNTIF($F$7:F106,2)&gt;='設定'!C8,N103&gt;='設定'!D8),1000000,COUNTIF($F$7:F106,2)*100+MOD(1+25+'設定'!$F$3,6))</x:f>
        <x:v>1000000</x:v>
      </x:c>
      <x:c r="I107" s="2" t="n">
        <x:f>IF(OR($D107=0,INDEX('希望休'!$B$7:$AF$12,3,$B107)&lt;&gt;"可",COUNTIFS($A$7:A106,$A107,$F$7:F106,3)&gt;0,COUNTIF($F$7:F106,3)&gt;='設定'!C9,O103&gt;='設定'!D9),1000000,COUNTIF($F$7:F106,3)*100+MOD(2+25+'設定'!$F$3,6))</x:f>
        <x:v>1603</x:v>
      </x:c>
      <x:c r="J107" s="2" t="n">
        <x:f>IF(OR($D107=0,INDEX('希望休'!$B$7:$AF$12,4,$B107)&lt;&gt;"可",COUNTIFS($A$7:A106,$A107,$F$7:F106,4)&gt;0,COUNTIF($F$7:F106,4)&gt;='設定'!C10,P103&gt;='設定'!D10),1000000,COUNTIF($F$7:F106,4)*100+MOD(3+25+'設定'!$F$3,6))</x:f>
        <x:v>1604</x:v>
      </x:c>
      <x:c r="K107" s="2" t="n">
        <x:f>IF(OR($D107=0,INDEX('希望休'!$B$7:$AF$12,5,$B107)&lt;&gt;"可",COUNTIFS($A$7:A106,$A107,$F$7:F106,5)&gt;0,COUNTIF($F$7:F106,5)&gt;='設定'!C11,Q103&gt;='設定'!D11),1000000,COUNTIF($F$7:F106,5)*100+MOD(4+25+'設定'!$F$3,6))</x:f>
        <x:v>1605</x:v>
      </x:c>
      <x:c r="L107" s="2" t="n">
        <x:f>IF(OR($D107=0,INDEX('希望休'!$B$7:$AF$12,6,$B107)&lt;&gt;"可",COUNTIFS($A$7:A106,$A107,$F$7:F106,6)&gt;0,COUNTIF($F$7:F106,6)&gt;='設定'!C12,R103&gt;='設定'!D12),1000000,COUNTIF($F$7:F106,6)*100+MOD(5+25+'設定'!$F$3,6))</x:f>
        <x:v>1000000</x:v>
      </x:c>
      <x:c r="M107" s="2" t="n">
        <x:f>IF($A107="",0,IF(COUNTIF($F$104:F107,1)&gt;0,M103+1,0))</x:f>
        <x:v>3</x:v>
      </x:c>
      <x:c r="N107" s="2" t="n">
        <x:f>IF($A107="",0,IF(COUNTIF($F$104:F107,2)&gt;0,N103+1,0))</x:f>
        <x:v>3</x:v>
      </x:c>
      <x:c r="O107" s="2" t="n">
        <x:f>IF($A107="",0,IF(COUNTIF($F$104:F107,3)&gt;0,O103+1,0))</x:f>
        <x:v>1</x:v>
      </x:c>
      <x:c r="P107" s="2" t="n">
        <x:f>IF($A107="",0,IF(COUNTIF($F$104:F107,4)&gt;0,P103+1,0))</x:f>
        <x:v>0</x:v>
      </x:c>
      <x:c r="Q107" s="2" t="n">
        <x:f>IF($A107="",0,IF(COUNTIF($F$104:F107,5)&gt;0,Q103+1,0))</x:f>
        <x:v>0</x:v>
      </x:c>
      <x:c r="R107" s="2" t="n">
        <x:f>IF($A107="",0,IF(COUNTIF($F$104:F107,6)&gt;0,R103+1,0))</x:f>
        <x:v>2</x:v>
      </x:c>
    </x:row>
    <x:row r="108" ht="24" customHeight="1">
      <x:c r="A108" s="15" t="n">
        <x:f>'設定'!AA16</x:f>
        <x:v>46291</x:v>
      </x:c>
      <x:c r="B108" s="2" t="n">
        <x:f>26</x:f>
        <x:v>26</x:v>
      </x:c>
      <x:c r="C108" s="2" t="str">
        <x:f>"早"</x:f>
        <x:v>早</x:v>
      </x:c>
      <x:c r="D108" s="2" t="n">
        <x:f>IF(AND('設定'!$B$21="入力OK",'設定'!AA16&lt;&gt;"",'設定'!AA17&gt;=1),1,0)</x:f>
        <x:v>1</x:v>
      </x:c>
      <x:c r="E108" s="2" t="str">
        <x:f>IF(D108=0,"",IF(F108=0,"不足",INDEX('設定'!$B$7:$B$12,F108)))</x:f>
        <x:v>スタッフE</x:v>
      </x:c>
      <x:c r="F108" s="2" t="n">
        <x:f>IF(D108=0,"",IF(MIN(G108:L108)&gt;=1000000,0,MATCH(MIN(G108:L108),G108:L108,0)))</x:f>
        <x:v>5</x:v>
      </x:c>
      <x:c r="G108" s="2" t="n">
        <x:f>IF(OR($D108=0,INDEX('希望休'!$B$7:$AF$12,1,$B108)&lt;&gt;"可",COUNTIFS($A$7:A107,$A108,$F$7:F107,1)&gt;0,COUNTIF($F$7:F107,1)&gt;='設定'!C7,M107&gt;='設定'!D7),1000000,COUNTIF($F$7:F107,1)*100+MOD(0+26+'設定'!$F$3,6))</x:f>
        <x:v>1702</x:v>
      </x:c>
      <x:c r="H108" s="2" t="n">
        <x:f>IF(OR($D108=0,INDEX('希望休'!$B$7:$AF$12,2,$B108)&lt;&gt;"可",COUNTIFS($A$7:A107,$A108,$F$7:F107,2)&gt;0,COUNTIF($F$7:F107,2)&gt;='設定'!C8,N107&gt;='設定'!D8),1000000,COUNTIF($F$7:F107,2)*100+MOD(1+26+'設定'!$F$3,6))</x:f>
        <x:v>1703</x:v>
      </x:c>
      <x:c r="I108" s="2" t="n">
        <x:f>IF(OR($D108=0,INDEX('希望休'!$B$7:$AF$12,3,$B108)&lt;&gt;"可",COUNTIFS($A$7:A107,$A108,$F$7:F107,3)&gt;0,COUNTIF($F$7:F107,3)&gt;='設定'!C9,O107&gt;='設定'!D9),1000000,COUNTIF($F$7:F107,3)*100+MOD(2+26+'設定'!$F$3,6))</x:f>
        <x:v>1704</x:v>
      </x:c>
      <x:c r="J108" s="2" t="n">
        <x:f>IF(OR($D108=0,INDEX('希望休'!$B$7:$AF$12,4,$B108)&lt;&gt;"可",COUNTIFS($A$7:A107,$A108,$F$7:F107,4)&gt;0,COUNTIF($F$7:F107,4)&gt;='設定'!C10,P107&gt;='設定'!D10),1000000,COUNTIF($F$7:F107,4)*100+MOD(3+26+'設定'!$F$3,6))</x:f>
        <x:v>1605</x:v>
      </x:c>
      <x:c r="K108" s="2" t="n">
        <x:f>IF(OR($D108=0,INDEX('希望休'!$B$7:$AF$12,5,$B108)&lt;&gt;"可",COUNTIFS($A$7:A107,$A108,$F$7:F107,5)&gt;0,COUNTIF($F$7:F107,5)&gt;='設定'!C11,Q107&gt;='設定'!D11),1000000,COUNTIF($F$7:F107,5)*100+MOD(4+26+'設定'!$F$3,6))</x:f>
        <x:v>1600</x:v>
      </x:c>
      <x:c r="L108" s="2" t="n">
        <x:f>IF(OR($D108=0,INDEX('希望休'!$B$7:$AF$12,6,$B108)&lt;&gt;"可",COUNTIFS($A$7:A107,$A108,$F$7:F107,6)&gt;0,COUNTIF($F$7:F107,6)&gt;='設定'!C12,R107&gt;='設定'!D12),1000000,COUNTIF($F$7:F107,6)*100+MOD(5+26+'設定'!$F$3,6))</x:f>
        <x:v>1701</x:v>
      </x:c>
      <x:c r="M108" s="2" t="n">
        <x:f>IF($A108="",0,IF(COUNTIF($F$108:F108,1)&gt;0,M107+1,0))</x:f>
        <x:v>0</x:v>
      </x:c>
      <x:c r="N108" s="2" t="n">
        <x:f>IF($A108="",0,IF(COUNTIF($F$108:F108,2)&gt;0,N107+1,0))</x:f>
        <x:v>0</x:v>
      </x:c>
      <x:c r="O108" s="2" t="n">
        <x:f>IF($A108="",0,IF(COUNTIF($F$108:F108,3)&gt;0,O107+1,0))</x:f>
        <x:v>0</x:v>
      </x:c>
      <x:c r="P108" s="2" t="n">
        <x:f>IF($A108="",0,IF(COUNTIF($F$108:F108,4)&gt;0,P107+1,0))</x:f>
        <x:v>0</x:v>
      </x:c>
      <x:c r="Q108" s="2" t="n">
        <x:f>IF($A108="",0,IF(COUNTIF($F$108:F108,5)&gt;0,Q107+1,0))</x:f>
        <x:v>1</x:v>
      </x:c>
      <x:c r="R108" s="2" t="n">
        <x:f>IF($A108="",0,IF(COUNTIF($F$108:F108,6)&gt;0,R107+1,0))</x:f>
        <x:v>0</x:v>
      </x:c>
    </x:row>
    <x:row r="109" ht="24" customHeight="1">
      <x:c r="A109" s="15" t="n">
        <x:f>'設定'!AA16</x:f>
        <x:v>46291</x:v>
      </x:c>
      <x:c r="B109" s="2" t="n">
        <x:f>26</x:f>
        <x:v>26</x:v>
      </x:c>
      <x:c r="C109" s="2" t="str">
        <x:f>"早"</x:f>
        <x:v>早</x:v>
      </x:c>
      <x:c r="D109" s="2" t="n">
        <x:f>IF(AND('設定'!$B$21="入力OK",'設定'!AA16&lt;&gt;"",'設定'!AA17&gt;=2),1,0)</x:f>
        <x:v>1</x:v>
      </x:c>
      <x:c r="E109" s="2" t="str">
        <x:f>IF(D109=0,"",IF(F109=0,"不足",INDEX('設定'!$B$7:$B$12,F109)))</x:f>
        <x:v>スタッフD</x:v>
      </x:c>
      <x:c r="F109" s="2" t="n">
        <x:f>IF(D109=0,"",IF(MIN(G109:L109)&gt;=1000000,0,MATCH(MIN(G109:L109),G109:L109,0)))</x:f>
        <x:v>4</x:v>
      </x:c>
      <x:c r="G109" s="2" t="n">
        <x:f>IF(OR($D109=0,INDEX('希望休'!$B$7:$AF$12,1,$B109)&lt;&gt;"可",COUNTIFS($A$7:A108,$A109,$F$7:F108,1)&gt;0,COUNTIF($F$7:F108,1)&gt;='設定'!C7,M107&gt;='設定'!D7),1000000,COUNTIF($F$7:F108,1)*100+MOD(0+26+'設定'!$F$3,6))</x:f>
        <x:v>1702</x:v>
      </x:c>
      <x:c r="H109" s="2" t="n">
        <x:f>IF(OR($D109=0,INDEX('希望休'!$B$7:$AF$12,2,$B109)&lt;&gt;"可",COUNTIFS($A$7:A108,$A109,$F$7:F108,2)&gt;0,COUNTIF($F$7:F108,2)&gt;='設定'!C8,N107&gt;='設定'!D8),1000000,COUNTIF($F$7:F108,2)*100+MOD(1+26+'設定'!$F$3,6))</x:f>
        <x:v>1703</x:v>
      </x:c>
      <x:c r="I109" s="2" t="n">
        <x:f>IF(OR($D109=0,INDEX('希望休'!$B$7:$AF$12,3,$B109)&lt;&gt;"可",COUNTIFS($A$7:A108,$A109,$F$7:F108,3)&gt;0,COUNTIF($F$7:F108,3)&gt;='設定'!C9,O107&gt;='設定'!D9),1000000,COUNTIF($F$7:F108,3)*100+MOD(2+26+'設定'!$F$3,6))</x:f>
        <x:v>1704</x:v>
      </x:c>
      <x:c r="J109" s="2" t="n">
        <x:f>IF(OR($D109=0,INDEX('希望休'!$B$7:$AF$12,4,$B109)&lt;&gt;"可",COUNTIFS($A$7:A108,$A109,$F$7:F108,4)&gt;0,COUNTIF($F$7:F108,4)&gt;='設定'!C10,P107&gt;='設定'!D10),1000000,COUNTIF($F$7:F108,4)*100+MOD(3+26+'設定'!$F$3,6))</x:f>
        <x:v>1605</x:v>
      </x:c>
      <x:c r="K109" s="2" t="n">
        <x:f>IF(OR($D109=0,INDEX('希望休'!$B$7:$AF$12,5,$B109)&lt;&gt;"可",COUNTIFS($A$7:A108,$A109,$F$7:F108,5)&gt;0,COUNTIF($F$7:F108,5)&gt;='設定'!C11,Q107&gt;='設定'!D11),1000000,COUNTIF($F$7:F108,5)*100+MOD(4+26+'設定'!$F$3,6))</x:f>
        <x:v>1000000</x:v>
      </x:c>
      <x:c r="L109" s="2" t="n">
        <x:f>IF(OR($D109=0,INDEX('希望休'!$B$7:$AF$12,6,$B109)&lt;&gt;"可",COUNTIFS($A$7:A108,$A109,$F$7:F108,6)&gt;0,COUNTIF($F$7:F108,6)&gt;='設定'!C12,R107&gt;='設定'!D12),1000000,COUNTIF($F$7:F108,6)*100+MOD(5+26+'設定'!$F$3,6))</x:f>
        <x:v>1701</x:v>
      </x:c>
      <x:c r="M109" s="2" t="n">
        <x:f>IF($A109="",0,IF(COUNTIF($F$108:F109,1)&gt;0,M107+1,0))</x:f>
        <x:v>0</x:v>
      </x:c>
      <x:c r="N109" s="2" t="n">
        <x:f>IF($A109="",0,IF(COUNTIF($F$108:F109,2)&gt;0,N107+1,0))</x:f>
        <x:v>0</x:v>
      </x:c>
      <x:c r="O109" s="2" t="n">
        <x:f>IF($A109="",0,IF(COUNTIF($F$108:F109,3)&gt;0,O107+1,0))</x:f>
        <x:v>0</x:v>
      </x:c>
      <x:c r="P109" s="2" t="n">
        <x:f>IF($A109="",0,IF(COUNTIF($F$108:F109,4)&gt;0,P107+1,0))</x:f>
        <x:v>1</x:v>
      </x:c>
      <x:c r="Q109" s="2" t="n">
        <x:f>IF($A109="",0,IF(COUNTIF($F$108:F109,5)&gt;0,Q107+1,0))</x:f>
        <x:v>1</x:v>
      </x:c>
      <x:c r="R109" s="2" t="n">
        <x:f>IF($A109="",0,IF(COUNTIF($F$108:F109,6)&gt;0,R107+1,0))</x:f>
        <x:v>0</x:v>
      </x:c>
    </x:row>
    <x:row r="110" ht="24" customHeight="1">
      <x:c r="A110" s="15" t="n">
        <x:f>'設定'!AA16</x:f>
        <x:v>46291</x:v>
      </x:c>
      <x:c r="B110" s="2" t="n">
        <x:f>26</x:f>
        <x:v>26</x:v>
      </x:c>
      <x:c r="C110" s="2" t="str">
        <x:f>"遅"</x:f>
        <x:v>遅</x:v>
      </x:c>
      <x:c r="D110" s="2" t="n">
        <x:f>IF(AND('設定'!$B$21="入力OK",'設定'!AA16&lt;&gt;"",'設定'!AA18&gt;=1),1,0)</x:f>
        <x:v>1</x:v>
      </x:c>
      <x:c r="E110" s="2" t="str">
        <x:f>IF(D110=0,"",IF(F110=0,"不足",INDEX('設定'!$B$7:$B$12,F110)))</x:f>
        <x:v>スタッフF</x:v>
      </x:c>
      <x:c r="F110" s="2" t="n">
        <x:f>IF(D110=0,"",IF(MIN(G110:L110)&gt;=1000000,0,MATCH(MIN(G110:L110),G110:L110,0)))</x:f>
        <x:v>6</x:v>
      </x:c>
      <x:c r="G110" s="2" t="n">
        <x:f>IF(OR($D110=0,INDEX('希望休'!$B$7:$AF$12,1,$B110)&lt;&gt;"可",COUNTIFS($A$7:A109,$A110,$F$7:F109,1)&gt;0,COUNTIF($F$7:F109,1)&gt;='設定'!C7,M107&gt;='設定'!D7),1000000,COUNTIF($F$7:F109,1)*100+MOD(0+26+'設定'!$F$3,6))</x:f>
        <x:v>1702</x:v>
      </x:c>
      <x:c r="H110" s="2" t="n">
        <x:f>IF(OR($D110=0,INDEX('希望休'!$B$7:$AF$12,2,$B110)&lt;&gt;"可",COUNTIFS($A$7:A109,$A110,$F$7:F109,2)&gt;0,COUNTIF($F$7:F109,2)&gt;='設定'!C8,N107&gt;='設定'!D8),1000000,COUNTIF($F$7:F109,2)*100+MOD(1+26+'設定'!$F$3,6))</x:f>
        <x:v>1703</x:v>
      </x:c>
      <x:c r="I110" s="2" t="n">
        <x:f>IF(OR($D110=0,INDEX('希望休'!$B$7:$AF$12,3,$B110)&lt;&gt;"可",COUNTIFS($A$7:A109,$A110,$F$7:F109,3)&gt;0,COUNTIF($F$7:F109,3)&gt;='設定'!C9,O107&gt;='設定'!D9),1000000,COUNTIF($F$7:F109,3)*100+MOD(2+26+'設定'!$F$3,6))</x:f>
        <x:v>1704</x:v>
      </x:c>
      <x:c r="J110" s="2" t="n">
        <x:f>IF(OR($D110=0,INDEX('希望休'!$B$7:$AF$12,4,$B110)&lt;&gt;"可",COUNTIFS($A$7:A109,$A110,$F$7:F109,4)&gt;0,COUNTIF($F$7:F109,4)&gt;='設定'!C10,P107&gt;='設定'!D10),1000000,COUNTIF($F$7:F109,4)*100+MOD(3+26+'設定'!$F$3,6))</x:f>
        <x:v>1000000</x:v>
      </x:c>
      <x:c r="K110" s="2" t="n">
        <x:f>IF(OR($D110=0,INDEX('希望休'!$B$7:$AF$12,5,$B110)&lt;&gt;"可",COUNTIFS($A$7:A109,$A110,$F$7:F109,5)&gt;0,COUNTIF($F$7:F109,5)&gt;='設定'!C11,Q107&gt;='設定'!D11),1000000,COUNTIF($F$7:F109,5)*100+MOD(4+26+'設定'!$F$3,6))</x:f>
        <x:v>1000000</x:v>
      </x:c>
      <x:c r="L110" s="2" t="n">
        <x:f>IF(OR($D110=0,INDEX('希望休'!$B$7:$AF$12,6,$B110)&lt;&gt;"可",COUNTIFS($A$7:A109,$A110,$F$7:F109,6)&gt;0,COUNTIF($F$7:F109,6)&gt;='設定'!C12,R107&gt;='設定'!D12),1000000,COUNTIF($F$7:F109,6)*100+MOD(5+26+'設定'!$F$3,6))</x:f>
        <x:v>1701</x:v>
      </x:c>
      <x:c r="M110" s="2" t="n">
        <x:f>IF($A110="",0,IF(COUNTIF($F$108:F110,1)&gt;0,M107+1,0))</x:f>
        <x:v>0</x:v>
      </x:c>
      <x:c r="N110" s="2" t="n">
        <x:f>IF($A110="",0,IF(COUNTIF($F$108:F110,2)&gt;0,N107+1,0))</x:f>
        <x:v>0</x:v>
      </x:c>
      <x:c r="O110" s="2" t="n">
        <x:f>IF($A110="",0,IF(COUNTIF($F$108:F110,3)&gt;0,O107+1,0))</x:f>
        <x:v>0</x:v>
      </x:c>
      <x:c r="P110" s="2" t="n">
        <x:f>IF($A110="",0,IF(COUNTIF($F$108:F110,4)&gt;0,P107+1,0))</x:f>
        <x:v>1</x:v>
      </x:c>
      <x:c r="Q110" s="2" t="n">
        <x:f>IF($A110="",0,IF(COUNTIF($F$108:F110,5)&gt;0,Q107+1,0))</x:f>
        <x:v>1</x:v>
      </x:c>
      <x:c r="R110" s="2" t="n">
        <x:f>IF($A110="",0,IF(COUNTIF($F$108:F110,6)&gt;0,R107+1,0))</x:f>
        <x:v>3</x:v>
      </x:c>
    </x:row>
    <x:row r="111" ht="24" customHeight="1">
      <x:c r="A111" s="15" t="n">
        <x:f>'設定'!AA16</x:f>
        <x:v>46291</x:v>
      </x:c>
      <x:c r="B111" s="2" t="n">
        <x:f>26</x:f>
        <x:v>26</x:v>
      </x:c>
      <x:c r="C111" s="2" t="str">
        <x:f>"遅"</x:f>
        <x:v>遅</x:v>
      </x:c>
      <x:c r="D111" s="2" t="n">
        <x:f>IF(AND('設定'!$B$21="入力OK",'設定'!AA16&lt;&gt;"",'設定'!AA18&gt;=2),1,0)</x:f>
        <x:v>1</x:v>
      </x:c>
      <x:c r="E111" s="2" t="str">
        <x:f>IF(D111=0,"",IF(F111=0,"不足",INDEX('設定'!$B$7:$B$12,F111)))</x:f>
        <x:v>スタッフA</x:v>
      </x:c>
      <x:c r="F111" s="2" t="n">
        <x:f>IF(D111=0,"",IF(MIN(G111:L111)&gt;=1000000,0,MATCH(MIN(G111:L111),G111:L111,0)))</x:f>
        <x:v>1</x:v>
      </x:c>
      <x:c r="G111" s="2" t="n">
        <x:f>IF(OR($D111=0,INDEX('希望休'!$B$7:$AF$12,1,$B111)&lt;&gt;"可",COUNTIFS($A$7:A110,$A111,$F$7:F110,1)&gt;0,COUNTIF($F$7:F110,1)&gt;='設定'!C7,M107&gt;='設定'!D7),1000000,COUNTIF($F$7:F110,1)*100+MOD(0+26+'設定'!$F$3,6))</x:f>
        <x:v>1702</x:v>
      </x:c>
      <x:c r="H111" s="2" t="n">
        <x:f>IF(OR($D111=0,INDEX('希望休'!$B$7:$AF$12,2,$B111)&lt;&gt;"可",COUNTIFS($A$7:A110,$A111,$F$7:F110,2)&gt;0,COUNTIF($F$7:F110,2)&gt;='設定'!C8,N107&gt;='設定'!D8),1000000,COUNTIF($F$7:F110,2)*100+MOD(1+26+'設定'!$F$3,6))</x:f>
        <x:v>1703</x:v>
      </x:c>
      <x:c r="I111" s="2" t="n">
        <x:f>IF(OR($D111=0,INDEX('希望休'!$B$7:$AF$12,3,$B111)&lt;&gt;"可",COUNTIFS($A$7:A110,$A111,$F$7:F110,3)&gt;0,COUNTIF($F$7:F110,3)&gt;='設定'!C9,O107&gt;='設定'!D9),1000000,COUNTIF($F$7:F110,3)*100+MOD(2+26+'設定'!$F$3,6))</x:f>
        <x:v>1704</x:v>
      </x:c>
      <x:c r="J111" s="2" t="n">
        <x:f>IF(OR($D111=0,INDEX('希望休'!$B$7:$AF$12,4,$B111)&lt;&gt;"可",COUNTIFS($A$7:A110,$A111,$F$7:F110,4)&gt;0,COUNTIF($F$7:F110,4)&gt;='設定'!C10,P107&gt;='設定'!D10),1000000,COUNTIF($F$7:F110,4)*100+MOD(3+26+'設定'!$F$3,6))</x:f>
        <x:v>1000000</x:v>
      </x:c>
      <x:c r="K111" s="2" t="n">
        <x:f>IF(OR($D111=0,INDEX('希望休'!$B$7:$AF$12,5,$B111)&lt;&gt;"可",COUNTIFS($A$7:A110,$A111,$F$7:F110,5)&gt;0,COUNTIF($F$7:F110,5)&gt;='設定'!C11,Q107&gt;='設定'!D11),1000000,COUNTIF($F$7:F110,5)*100+MOD(4+26+'設定'!$F$3,6))</x:f>
        <x:v>1000000</x:v>
      </x:c>
      <x:c r="L111" s="2" t="n">
        <x:f>IF(OR($D111=0,INDEX('希望休'!$B$7:$AF$12,6,$B111)&lt;&gt;"可",COUNTIFS($A$7:A110,$A111,$F$7:F110,6)&gt;0,COUNTIF($F$7:F110,6)&gt;='設定'!C12,R107&gt;='設定'!D12),1000000,COUNTIF($F$7:F110,6)*100+MOD(5+26+'設定'!$F$3,6))</x:f>
        <x:v>1000000</x:v>
      </x:c>
      <x:c r="M111" s="2" t="n">
        <x:f>IF($A111="",0,IF(COUNTIF($F$108:F111,1)&gt;0,M107+1,0))</x:f>
        <x:v>4</x:v>
      </x:c>
      <x:c r="N111" s="2" t="n">
        <x:f>IF($A111="",0,IF(COUNTIF($F$108:F111,2)&gt;0,N107+1,0))</x:f>
        <x:v>0</x:v>
      </x:c>
      <x:c r="O111" s="2" t="n">
        <x:f>IF($A111="",0,IF(COUNTIF($F$108:F111,3)&gt;0,O107+1,0))</x:f>
        <x:v>0</x:v>
      </x:c>
      <x:c r="P111" s="2" t="n">
        <x:f>IF($A111="",0,IF(COUNTIF($F$108:F111,4)&gt;0,P107+1,0))</x:f>
        <x:v>1</x:v>
      </x:c>
      <x:c r="Q111" s="2" t="n">
        <x:f>IF($A111="",0,IF(COUNTIF($F$108:F111,5)&gt;0,Q107+1,0))</x:f>
        <x:v>1</x:v>
      </x:c>
      <x:c r="R111" s="2" t="n">
        <x:f>IF($A111="",0,IF(COUNTIF($F$108:F111,6)&gt;0,R107+1,0))</x:f>
        <x:v>3</x:v>
      </x:c>
    </x:row>
    <x:row r="112" ht="24" customHeight="1">
      <x:c r="A112" s="15" t="n">
        <x:f>'設定'!AB16</x:f>
        <x:v>46292</x:v>
      </x:c>
      <x:c r="B112" s="2" t="n">
        <x:f>27</x:f>
        <x:v>27</x:v>
      </x:c>
      <x:c r="C112" s="2" t="str">
        <x:f>"早"</x:f>
        <x:v>早</x:v>
      </x:c>
      <x:c r="D112" s="2" t="n">
        <x:f>IF(AND('設定'!$B$21="入力OK",'設定'!AB16&lt;&gt;"",'設定'!AB17&gt;=1),1,0)</x:f>
        <x:v>1</x:v>
      </x:c>
      <x:c r="E112" s="2" t="str">
        <x:f>IF(D112=0,"",IF(F112=0,"不足",INDEX('設定'!$B$7:$B$12,F112)))</x:f>
        <x:v>スタッフD</x:v>
      </x:c>
      <x:c r="F112" s="2" t="n">
        <x:f>IF(D112=0,"",IF(MIN(G112:L112)&gt;=1000000,0,MATCH(MIN(G112:L112),G112:L112,0)))</x:f>
        <x:v>4</x:v>
      </x:c>
      <x:c r="G112" s="2" t="n">
        <x:f>IF(OR($D112=0,INDEX('希望休'!$B$7:$AF$12,1,$B112)&lt;&gt;"可",COUNTIFS($A$7:A111,$A112,$F$7:F111,1)&gt;0,COUNTIF($F$7:F111,1)&gt;='設定'!C7,M111&gt;='設定'!D7),1000000,COUNTIF($F$7:F111,1)*100+MOD(0+27+'設定'!$F$3,6))</x:f>
        <x:v>1803</x:v>
      </x:c>
      <x:c r="H112" s="2" t="n">
        <x:f>IF(OR($D112=0,INDEX('希望休'!$B$7:$AF$12,2,$B112)&lt;&gt;"可",COUNTIFS($A$7:A111,$A112,$F$7:F111,2)&gt;0,COUNTIF($F$7:F111,2)&gt;='設定'!C8,N111&gt;='設定'!D8),1000000,COUNTIF($F$7:F111,2)*100+MOD(1+27+'設定'!$F$3,6))</x:f>
        <x:v>1704</x:v>
      </x:c>
      <x:c r="I112" s="2" t="n">
        <x:f>IF(OR($D112=0,INDEX('希望休'!$B$7:$AF$12,3,$B112)&lt;&gt;"可",COUNTIFS($A$7:A111,$A112,$F$7:F111,3)&gt;0,COUNTIF($F$7:F111,3)&gt;='設定'!C9,O111&gt;='設定'!D9),1000000,COUNTIF($F$7:F111,3)*100+MOD(2+27+'設定'!$F$3,6))</x:f>
        <x:v>1705</x:v>
      </x:c>
      <x:c r="J112" s="2" t="n">
        <x:f>IF(OR($D112=0,INDEX('希望休'!$B$7:$AF$12,4,$B112)&lt;&gt;"可",COUNTIFS($A$7:A111,$A112,$F$7:F111,4)&gt;0,COUNTIF($F$7:F111,4)&gt;='設定'!C10,P111&gt;='設定'!D10),1000000,COUNTIF($F$7:F111,4)*100+MOD(3+27+'設定'!$F$3,6))</x:f>
        <x:v>1700</x:v>
      </x:c>
      <x:c r="K112" s="2" t="n">
        <x:f>IF(OR($D112=0,INDEX('希望休'!$B$7:$AF$12,5,$B112)&lt;&gt;"可",COUNTIFS($A$7:A111,$A112,$F$7:F111,5)&gt;0,COUNTIF($F$7:F111,5)&gt;='設定'!C11,Q111&gt;='設定'!D11),1000000,COUNTIF($F$7:F111,5)*100+MOD(4+27+'設定'!$F$3,6))</x:f>
        <x:v>1701</x:v>
      </x:c>
      <x:c r="L112" s="2" t="n">
        <x:f>IF(OR($D112=0,INDEX('希望休'!$B$7:$AF$12,6,$B112)&lt;&gt;"可",COUNTIFS($A$7:A111,$A112,$F$7:F111,6)&gt;0,COUNTIF($F$7:F111,6)&gt;='設定'!C12,R111&gt;='設定'!D12),1000000,COUNTIF($F$7:F111,6)*100+MOD(5+27+'設定'!$F$3,6))</x:f>
        <x:v>1802</x:v>
      </x:c>
      <x:c r="M112" s="2" t="n">
        <x:f>IF($A112="",0,IF(COUNTIF($F$112:F112,1)&gt;0,M111+1,0))</x:f>
        <x:v>0</x:v>
      </x:c>
      <x:c r="N112" s="2" t="n">
        <x:f>IF($A112="",0,IF(COUNTIF($F$112:F112,2)&gt;0,N111+1,0))</x:f>
        <x:v>0</x:v>
      </x:c>
      <x:c r="O112" s="2" t="n">
        <x:f>IF($A112="",0,IF(COUNTIF($F$112:F112,3)&gt;0,O111+1,0))</x:f>
        <x:v>0</x:v>
      </x:c>
      <x:c r="P112" s="2" t="n">
        <x:f>IF($A112="",0,IF(COUNTIF($F$112:F112,4)&gt;0,P111+1,0))</x:f>
        <x:v>2</x:v>
      </x:c>
      <x:c r="Q112" s="2" t="n">
        <x:f>IF($A112="",0,IF(COUNTIF($F$112:F112,5)&gt;0,Q111+1,0))</x:f>
        <x:v>0</x:v>
      </x:c>
      <x:c r="R112" s="2" t="n">
        <x:f>IF($A112="",0,IF(COUNTIF($F$112:F112,6)&gt;0,R111+1,0))</x:f>
        <x:v>0</x:v>
      </x:c>
    </x:row>
    <x:row r="113" ht="24" customHeight="1">
      <x:c r="A113" s="15" t="n">
        <x:f>'設定'!AB16</x:f>
        <x:v>46292</x:v>
      </x:c>
      <x:c r="B113" s="2" t="n">
        <x:f>27</x:f>
        <x:v>27</x:v>
      </x:c>
      <x:c r="C113" s="2" t="str">
        <x:f>"早"</x:f>
        <x:v>早</x:v>
      </x:c>
      <x:c r="D113" s="2" t="n">
        <x:f>IF(AND('設定'!$B$21="入力OK",'設定'!AB16&lt;&gt;"",'設定'!AB17&gt;=2),1,0)</x:f>
        <x:v>1</x:v>
      </x:c>
      <x:c r="E113" s="2" t="str">
        <x:f>IF(D113=0,"",IF(F113=0,"不足",INDEX('設定'!$B$7:$B$12,F113)))</x:f>
        <x:v>スタッフE</x:v>
      </x:c>
      <x:c r="F113" s="2" t="n">
        <x:f>IF(D113=0,"",IF(MIN(G113:L113)&gt;=1000000,0,MATCH(MIN(G113:L113),G113:L113,0)))</x:f>
        <x:v>5</x:v>
      </x:c>
      <x:c r="G113" s="2" t="n">
        <x:f>IF(OR($D113=0,INDEX('希望休'!$B$7:$AF$12,1,$B113)&lt;&gt;"可",COUNTIFS($A$7:A112,$A113,$F$7:F112,1)&gt;0,COUNTIF($F$7:F112,1)&gt;='設定'!C7,M111&gt;='設定'!D7),1000000,COUNTIF($F$7:F112,1)*100+MOD(0+27+'設定'!$F$3,6))</x:f>
        <x:v>1803</x:v>
      </x:c>
      <x:c r="H113" s="2" t="n">
        <x:f>IF(OR($D113=0,INDEX('希望休'!$B$7:$AF$12,2,$B113)&lt;&gt;"可",COUNTIFS($A$7:A112,$A113,$F$7:F112,2)&gt;0,COUNTIF($F$7:F112,2)&gt;='設定'!C8,N111&gt;='設定'!D8),1000000,COUNTIF($F$7:F112,2)*100+MOD(1+27+'設定'!$F$3,6))</x:f>
        <x:v>1704</x:v>
      </x:c>
      <x:c r="I113" s="2" t="n">
        <x:f>IF(OR($D113=0,INDEX('希望休'!$B$7:$AF$12,3,$B113)&lt;&gt;"可",COUNTIFS($A$7:A112,$A113,$F$7:F112,3)&gt;0,COUNTIF($F$7:F112,3)&gt;='設定'!C9,O111&gt;='設定'!D9),1000000,COUNTIF($F$7:F112,3)*100+MOD(2+27+'設定'!$F$3,6))</x:f>
        <x:v>1705</x:v>
      </x:c>
      <x:c r="J113" s="2" t="n">
        <x:f>IF(OR($D113=0,INDEX('希望休'!$B$7:$AF$12,4,$B113)&lt;&gt;"可",COUNTIFS($A$7:A112,$A113,$F$7:F112,4)&gt;0,COUNTIF($F$7:F112,4)&gt;='設定'!C10,P111&gt;='設定'!D10),1000000,COUNTIF($F$7:F112,4)*100+MOD(3+27+'設定'!$F$3,6))</x:f>
        <x:v>1000000</x:v>
      </x:c>
      <x:c r="K113" s="2" t="n">
        <x:f>IF(OR($D113=0,INDEX('希望休'!$B$7:$AF$12,5,$B113)&lt;&gt;"可",COUNTIFS($A$7:A112,$A113,$F$7:F112,5)&gt;0,COUNTIF($F$7:F112,5)&gt;='設定'!C11,Q111&gt;='設定'!D11),1000000,COUNTIF($F$7:F112,5)*100+MOD(4+27+'設定'!$F$3,6))</x:f>
        <x:v>1701</x:v>
      </x:c>
      <x:c r="L113" s="2" t="n">
        <x:f>IF(OR($D113=0,INDEX('希望休'!$B$7:$AF$12,6,$B113)&lt;&gt;"可",COUNTIFS($A$7:A112,$A113,$F$7:F112,6)&gt;0,COUNTIF($F$7:F112,6)&gt;='設定'!C12,R111&gt;='設定'!D12),1000000,COUNTIF($F$7:F112,6)*100+MOD(5+27+'設定'!$F$3,6))</x:f>
        <x:v>1802</x:v>
      </x:c>
      <x:c r="M113" s="2" t="n">
        <x:f>IF($A113="",0,IF(COUNTIF($F$112:F113,1)&gt;0,M111+1,0))</x:f>
        <x:v>0</x:v>
      </x:c>
      <x:c r="N113" s="2" t="n">
        <x:f>IF($A113="",0,IF(COUNTIF($F$112:F113,2)&gt;0,N111+1,0))</x:f>
        <x:v>0</x:v>
      </x:c>
      <x:c r="O113" s="2" t="n">
        <x:f>IF($A113="",0,IF(COUNTIF($F$112:F113,3)&gt;0,O111+1,0))</x:f>
        <x:v>0</x:v>
      </x:c>
      <x:c r="P113" s="2" t="n">
        <x:f>IF($A113="",0,IF(COUNTIF($F$112:F113,4)&gt;0,P111+1,0))</x:f>
        <x:v>2</x:v>
      </x:c>
      <x:c r="Q113" s="2" t="n">
        <x:f>IF($A113="",0,IF(COUNTIF($F$112:F113,5)&gt;0,Q111+1,0))</x:f>
        <x:v>2</x:v>
      </x:c>
      <x:c r="R113" s="2" t="n">
        <x:f>IF($A113="",0,IF(COUNTIF($F$112:F113,6)&gt;0,R111+1,0))</x:f>
        <x:v>0</x:v>
      </x:c>
    </x:row>
    <x:row r="114" ht="24" customHeight="1">
      <x:c r="A114" s="15" t="n">
        <x:f>'設定'!AB16</x:f>
        <x:v>46292</x:v>
      </x:c>
      <x:c r="B114" s="2" t="n">
        <x:f>27</x:f>
        <x:v>27</x:v>
      </x:c>
      <x:c r="C114" s="2" t="str">
        <x:f>"遅"</x:f>
        <x:v>遅</x:v>
      </x:c>
      <x:c r="D114" s="2" t="n">
        <x:f>IF(AND('設定'!$B$21="入力OK",'設定'!AB16&lt;&gt;"",'設定'!AB18&gt;=1),1,0)</x:f>
        <x:v>1</x:v>
      </x:c>
      <x:c r="E114" s="2" t="str">
        <x:f>IF(D114=0,"",IF(F114=0,"不足",INDEX('設定'!$B$7:$B$12,F114)))</x:f>
        <x:v>スタッフB</x:v>
      </x:c>
      <x:c r="F114" s="2" t="n">
        <x:f>IF(D114=0,"",IF(MIN(G114:L114)&gt;=1000000,0,MATCH(MIN(G114:L114),G114:L114,0)))</x:f>
        <x:v>2</x:v>
      </x:c>
      <x:c r="G114" s="2" t="n">
        <x:f>IF(OR($D114=0,INDEX('希望休'!$B$7:$AF$12,1,$B114)&lt;&gt;"可",COUNTIFS($A$7:A113,$A114,$F$7:F113,1)&gt;0,COUNTIF($F$7:F113,1)&gt;='設定'!C7,M111&gt;='設定'!D7),1000000,COUNTIF($F$7:F113,1)*100+MOD(0+27+'設定'!$F$3,6))</x:f>
        <x:v>1803</x:v>
      </x:c>
      <x:c r="H114" s="2" t="n">
        <x:f>IF(OR($D114=0,INDEX('希望休'!$B$7:$AF$12,2,$B114)&lt;&gt;"可",COUNTIFS($A$7:A113,$A114,$F$7:F113,2)&gt;0,COUNTIF($F$7:F113,2)&gt;='設定'!C8,N111&gt;='設定'!D8),1000000,COUNTIF($F$7:F113,2)*100+MOD(1+27+'設定'!$F$3,6))</x:f>
        <x:v>1704</x:v>
      </x:c>
      <x:c r="I114" s="2" t="n">
        <x:f>IF(OR($D114=0,INDEX('希望休'!$B$7:$AF$12,3,$B114)&lt;&gt;"可",COUNTIFS($A$7:A113,$A114,$F$7:F113,3)&gt;0,COUNTIF($F$7:F113,3)&gt;='設定'!C9,O111&gt;='設定'!D9),1000000,COUNTIF($F$7:F113,3)*100+MOD(2+27+'設定'!$F$3,6))</x:f>
        <x:v>1705</x:v>
      </x:c>
      <x:c r="J114" s="2" t="n">
        <x:f>IF(OR($D114=0,INDEX('希望休'!$B$7:$AF$12,4,$B114)&lt;&gt;"可",COUNTIFS($A$7:A113,$A114,$F$7:F113,4)&gt;0,COUNTIF($F$7:F113,4)&gt;='設定'!C10,P111&gt;='設定'!D10),1000000,COUNTIF($F$7:F113,4)*100+MOD(3+27+'設定'!$F$3,6))</x:f>
        <x:v>1000000</x:v>
      </x:c>
      <x:c r="K114" s="2" t="n">
        <x:f>IF(OR($D114=0,INDEX('希望休'!$B$7:$AF$12,5,$B114)&lt;&gt;"可",COUNTIFS($A$7:A113,$A114,$F$7:F113,5)&gt;0,COUNTIF($F$7:F113,5)&gt;='設定'!C11,Q111&gt;='設定'!D11),1000000,COUNTIF($F$7:F113,5)*100+MOD(4+27+'設定'!$F$3,6))</x:f>
        <x:v>1000000</x:v>
      </x:c>
      <x:c r="L114" s="2" t="n">
        <x:f>IF(OR($D114=0,INDEX('希望休'!$B$7:$AF$12,6,$B114)&lt;&gt;"可",COUNTIFS($A$7:A113,$A114,$F$7:F113,6)&gt;0,COUNTIF($F$7:F113,6)&gt;='設定'!C12,R111&gt;='設定'!D12),1000000,COUNTIF($F$7:F113,6)*100+MOD(5+27+'設定'!$F$3,6))</x:f>
        <x:v>1802</x:v>
      </x:c>
      <x:c r="M114" s="2" t="n">
        <x:f>IF($A114="",0,IF(COUNTIF($F$112:F114,1)&gt;0,M111+1,0))</x:f>
        <x:v>0</x:v>
      </x:c>
      <x:c r="N114" s="2" t="n">
        <x:f>IF($A114="",0,IF(COUNTIF($F$112:F114,2)&gt;0,N111+1,0))</x:f>
        <x:v>1</x:v>
      </x:c>
      <x:c r="O114" s="2" t="n">
        <x:f>IF($A114="",0,IF(COUNTIF($F$112:F114,3)&gt;0,O111+1,0))</x:f>
        <x:v>0</x:v>
      </x:c>
      <x:c r="P114" s="2" t="n">
        <x:f>IF($A114="",0,IF(COUNTIF($F$112:F114,4)&gt;0,P111+1,0))</x:f>
        <x:v>2</x:v>
      </x:c>
      <x:c r="Q114" s="2" t="n">
        <x:f>IF($A114="",0,IF(COUNTIF($F$112:F114,5)&gt;0,Q111+1,0))</x:f>
        <x:v>2</x:v>
      </x:c>
      <x:c r="R114" s="2" t="n">
        <x:f>IF($A114="",0,IF(COUNTIF($F$112:F114,6)&gt;0,R111+1,0))</x:f>
        <x:v>0</x:v>
      </x:c>
    </x:row>
    <x:row r="115" ht="24" customHeight="1">
      <x:c r="A115" s="15" t="n">
        <x:f>'設定'!AB16</x:f>
        <x:v>46292</x:v>
      </x:c>
      <x:c r="B115" s="2" t="n">
        <x:f>27</x:f>
        <x:v>27</x:v>
      </x:c>
      <x:c r="C115" s="2" t="str">
        <x:f>"遅"</x:f>
        <x:v>遅</x:v>
      </x:c>
      <x:c r="D115" s="2" t="n">
        <x:f>IF(AND('設定'!$B$21="入力OK",'設定'!AB16&lt;&gt;"",'設定'!AB18&gt;=2),1,0)</x:f>
        <x:v>1</x:v>
      </x:c>
      <x:c r="E115" s="2" t="str">
        <x:f>IF(D115=0,"",IF(F115=0,"不足",INDEX('設定'!$B$7:$B$12,F115)))</x:f>
        <x:v>スタッフC</x:v>
      </x:c>
      <x:c r="F115" s="2" t="n">
        <x:f>IF(D115=0,"",IF(MIN(G115:L115)&gt;=1000000,0,MATCH(MIN(G115:L115),G115:L115,0)))</x:f>
        <x:v>3</x:v>
      </x:c>
      <x:c r="G115" s="2" t="n">
        <x:f>IF(OR($D115=0,INDEX('希望休'!$B$7:$AF$12,1,$B115)&lt;&gt;"可",COUNTIFS($A$7:A114,$A115,$F$7:F114,1)&gt;0,COUNTIF($F$7:F114,1)&gt;='設定'!C7,M111&gt;='設定'!D7),1000000,COUNTIF($F$7:F114,1)*100+MOD(0+27+'設定'!$F$3,6))</x:f>
        <x:v>1803</x:v>
      </x:c>
      <x:c r="H115" s="2" t="n">
        <x:f>IF(OR($D115=0,INDEX('希望休'!$B$7:$AF$12,2,$B115)&lt;&gt;"可",COUNTIFS($A$7:A114,$A115,$F$7:F114,2)&gt;0,COUNTIF($F$7:F114,2)&gt;='設定'!C8,N111&gt;='設定'!D8),1000000,COUNTIF($F$7:F114,2)*100+MOD(1+27+'設定'!$F$3,6))</x:f>
        <x:v>1000000</x:v>
      </x:c>
      <x:c r="I115" s="2" t="n">
        <x:f>IF(OR($D115=0,INDEX('希望休'!$B$7:$AF$12,3,$B115)&lt;&gt;"可",COUNTIFS($A$7:A114,$A115,$F$7:F114,3)&gt;0,COUNTIF($F$7:F114,3)&gt;='設定'!C9,O111&gt;='設定'!D9),1000000,COUNTIF($F$7:F114,3)*100+MOD(2+27+'設定'!$F$3,6))</x:f>
        <x:v>1705</x:v>
      </x:c>
      <x:c r="J115" s="2" t="n">
        <x:f>IF(OR($D115=0,INDEX('希望休'!$B$7:$AF$12,4,$B115)&lt;&gt;"可",COUNTIFS($A$7:A114,$A115,$F$7:F114,4)&gt;0,COUNTIF($F$7:F114,4)&gt;='設定'!C10,P111&gt;='設定'!D10),1000000,COUNTIF($F$7:F114,4)*100+MOD(3+27+'設定'!$F$3,6))</x:f>
        <x:v>1000000</x:v>
      </x:c>
      <x:c r="K115" s="2" t="n">
        <x:f>IF(OR($D115=0,INDEX('希望休'!$B$7:$AF$12,5,$B115)&lt;&gt;"可",COUNTIFS($A$7:A114,$A115,$F$7:F114,5)&gt;0,COUNTIF($F$7:F114,5)&gt;='設定'!C11,Q111&gt;='設定'!D11),1000000,COUNTIF($F$7:F114,5)*100+MOD(4+27+'設定'!$F$3,6))</x:f>
        <x:v>1000000</x:v>
      </x:c>
      <x:c r="L115" s="2" t="n">
        <x:f>IF(OR($D115=0,INDEX('希望休'!$B$7:$AF$12,6,$B115)&lt;&gt;"可",COUNTIFS($A$7:A114,$A115,$F$7:F114,6)&gt;0,COUNTIF($F$7:F114,6)&gt;='設定'!C12,R111&gt;='設定'!D12),1000000,COUNTIF($F$7:F114,6)*100+MOD(5+27+'設定'!$F$3,6))</x:f>
        <x:v>1802</x:v>
      </x:c>
      <x:c r="M115" s="2" t="n">
        <x:f>IF($A115="",0,IF(COUNTIF($F$112:F115,1)&gt;0,M111+1,0))</x:f>
        <x:v>0</x:v>
      </x:c>
      <x:c r="N115" s="2" t="n">
        <x:f>IF($A115="",0,IF(COUNTIF($F$112:F115,2)&gt;0,N111+1,0))</x:f>
        <x:v>1</x:v>
      </x:c>
      <x:c r="O115" s="2" t="n">
        <x:f>IF($A115="",0,IF(COUNTIF($F$112:F115,3)&gt;0,O111+1,0))</x:f>
        <x:v>1</x:v>
      </x:c>
      <x:c r="P115" s="2" t="n">
        <x:f>IF($A115="",0,IF(COUNTIF($F$112:F115,4)&gt;0,P111+1,0))</x:f>
        <x:v>2</x:v>
      </x:c>
      <x:c r="Q115" s="2" t="n">
        <x:f>IF($A115="",0,IF(COUNTIF($F$112:F115,5)&gt;0,Q111+1,0))</x:f>
        <x:v>2</x:v>
      </x:c>
      <x:c r="R115" s="2" t="n">
        <x:f>IF($A115="",0,IF(COUNTIF($F$112:F115,6)&gt;0,R111+1,0))</x:f>
        <x:v>0</x:v>
      </x:c>
    </x:row>
    <x:row r="116" ht="24" customHeight="1">
      <x:c r="A116" s="15" t="n">
        <x:f>'設定'!AC16</x:f>
        <x:v>46293</x:v>
      </x:c>
      <x:c r="B116" s="2" t="n">
        <x:f>28</x:f>
        <x:v>28</x:v>
      </x:c>
      <x:c r="C116" s="2" t="str">
        <x:f>"早"</x:f>
        <x:v>早</x:v>
      </x:c>
      <x:c r="D116" s="2" t="n">
        <x:f>IF(AND('設定'!$B$21="入力OK",'設定'!AC16&lt;&gt;"",'設定'!AC17&gt;=1),1,0)</x:f>
        <x:v>1</x:v>
      </x:c>
      <x:c r="E116" s="2" t="str">
        <x:f>IF(D116=0,"",IF(F116=0,"不足",INDEX('設定'!$B$7:$B$12,F116)))</x:f>
        <x:v>スタッフC</x:v>
      </x:c>
      <x:c r="F116" s="2" t="n">
        <x:f>IF(D116=0,"",IF(MIN(G116:L116)&gt;=1000000,0,MATCH(MIN(G116:L116),G116:L116,0)))</x:f>
        <x:v>3</x:v>
      </x:c>
      <x:c r="G116" s="2" t="n">
        <x:f>IF(OR($D116=0,INDEX('希望休'!$B$7:$AF$12,1,$B116)&lt;&gt;"可",COUNTIFS($A$7:A115,$A116,$F$7:F115,1)&gt;0,COUNTIF($F$7:F115,1)&gt;='設定'!C7,M115&gt;='設定'!D7),1000000,COUNTIF($F$7:F115,1)*100+MOD(0+28+'設定'!$F$3,6))</x:f>
        <x:v>1804</x:v>
      </x:c>
      <x:c r="H116" s="2" t="n">
        <x:f>IF(OR($D116=0,INDEX('希望休'!$B$7:$AF$12,2,$B116)&lt;&gt;"可",COUNTIFS($A$7:A115,$A116,$F$7:F115,2)&gt;0,COUNTIF($F$7:F115,2)&gt;='設定'!C8,N115&gt;='設定'!D8),1000000,COUNTIF($F$7:F115,2)*100+MOD(1+28+'設定'!$F$3,6))</x:f>
        <x:v>1805</x:v>
      </x:c>
      <x:c r="I116" s="2" t="n">
        <x:f>IF(OR($D116=0,INDEX('希望休'!$B$7:$AF$12,3,$B116)&lt;&gt;"可",COUNTIFS($A$7:A115,$A116,$F$7:F115,3)&gt;0,COUNTIF($F$7:F115,3)&gt;='設定'!C9,O115&gt;='設定'!D9),1000000,COUNTIF($F$7:F115,3)*100+MOD(2+28+'設定'!$F$3,6))</x:f>
        <x:v>1800</x:v>
      </x:c>
      <x:c r="J116" s="2" t="n">
        <x:f>IF(OR($D116=0,INDEX('希望休'!$B$7:$AF$12,4,$B116)&lt;&gt;"可",COUNTIFS($A$7:A115,$A116,$F$7:F115,4)&gt;0,COUNTIF($F$7:F115,4)&gt;='設定'!C10,P115&gt;='設定'!D10),1000000,COUNTIF($F$7:F115,4)*100+MOD(3+28+'設定'!$F$3,6))</x:f>
        <x:v>1801</x:v>
      </x:c>
      <x:c r="K116" s="2" t="n">
        <x:f>IF(OR($D116=0,INDEX('希望休'!$B$7:$AF$12,5,$B116)&lt;&gt;"可",COUNTIFS($A$7:A115,$A116,$F$7:F115,5)&gt;0,COUNTIF($F$7:F115,5)&gt;='設定'!C11,Q115&gt;='設定'!D11),1000000,COUNTIF($F$7:F115,5)*100+MOD(4+28+'設定'!$F$3,6))</x:f>
        <x:v>1802</x:v>
      </x:c>
      <x:c r="L116" s="2" t="n">
        <x:f>IF(OR($D116=0,INDEX('希望休'!$B$7:$AF$12,6,$B116)&lt;&gt;"可",COUNTIFS($A$7:A115,$A116,$F$7:F115,6)&gt;0,COUNTIF($F$7:F115,6)&gt;='設定'!C12,R115&gt;='設定'!D12),1000000,COUNTIF($F$7:F115,6)*100+MOD(5+28+'設定'!$F$3,6))</x:f>
        <x:v>1803</x:v>
      </x:c>
      <x:c r="M116" s="2" t="n">
        <x:f>IF($A116="",0,IF(COUNTIF($F$116:F116,1)&gt;0,M115+1,0))</x:f>
        <x:v>0</x:v>
      </x:c>
      <x:c r="N116" s="2" t="n">
        <x:f>IF($A116="",0,IF(COUNTIF($F$116:F116,2)&gt;0,N115+1,0))</x:f>
        <x:v>0</x:v>
      </x:c>
      <x:c r="O116" s="2" t="n">
        <x:f>IF($A116="",0,IF(COUNTIF($F$116:F116,3)&gt;0,O115+1,0))</x:f>
        <x:v>2</x:v>
      </x:c>
      <x:c r="P116" s="2" t="n">
        <x:f>IF($A116="",0,IF(COUNTIF($F$116:F116,4)&gt;0,P115+1,0))</x:f>
        <x:v>0</x:v>
      </x:c>
      <x:c r="Q116" s="2" t="n">
        <x:f>IF($A116="",0,IF(COUNTIF($F$116:F116,5)&gt;0,Q115+1,0))</x:f>
        <x:v>0</x:v>
      </x:c>
      <x:c r="R116" s="2" t="n">
        <x:f>IF($A116="",0,IF(COUNTIF($F$116:F116,6)&gt;0,R115+1,0))</x:f>
        <x:v>0</x:v>
      </x:c>
    </x:row>
    <x:row r="117" ht="24" customHeight="1">
      <x:c r="A117" s="15" t="n">
        <x:f>'設定'!AC16</x:f>
        <x:v>46293</x:v>
      </x:c>
      <x:c r="B117" s="2" t="n">
        <x:f>28</x:f>
        <x:v>28</x:v>
      </x:c>
      <x:c r="C117" s="2" t="str">
        <x:f>"早"</x:f>
        <x:v>早</x:v>
      </x:c>
      <x:c r="D117" s="2" t="n">
        <x:f>IF(AND('設定'!$B$21="入力OK",'設定'!AC16&lt;&gt;"",'設定'!AC17&gt;=2),1,0)</x:f>
        <x:v>1</x:v>
      </x:c>
      <x:c r="E117" s="2" t="str">
        <x:f>IF(D117=0,"",IF(F117=0,"不足",INDEX('設定'!$B$7:$B$12,F117)))</x:f>
        <x:v>スタッフD</x:v>
      </x:c>
      <x:c r="F117" s="2" t="n">
        <x:f>IF(D117=0,"",IF(MIN(G117:L117)&gt;=1000000,0,MATCH(MIN(G117:L117),G117:L117,0)))</x:f>
        <x:v>4</x:v>
      </x:c>
      <x:c r="G117" s="2" t="n">
        <x:f>IF(OR($D117=0,INDEX('希望休'!$B$7:$AF$12,1,$B117)&lt;&gt;"可",COUNTIFS($A$7:A116,$A117,$F$7:F116,1)&gt;0,COUNTIF($F$7:F116,1)&gt;='設定'!C7,M115&gt;='設定'!D7),1000000,COUNTIF($F$7:F116,1)*100+MOD(0+28+'設定'!$F$3,6))</x:f>
        <x:v>1804</x:v>
      </x:c>
      <x:c r="H117" s="2" t="n">
        <x:f>IF(OR($D117=0,INDEX('希望休'!$B$7:$AF$12,2,$B117)&lt;&gt;"可",COUNTIFS($A$7:A116,$A117,$F$7:F116,2)&gt;0,COUNTIF($F$7:F116,2)&gt;='設定'!C8,N115&gt;='設定'!D8),1000000,COUNTIF($F$7:F116,2)*100+MOD(1+28+'設定'!$F$3,6))</x:f>
        <x:v>1805</x:v>
      </x:c>
      <x:c r="I117" s="2" t="n">
        <x:f>IF(OR($D117=0,INDEX('希望休'!$B$7:$AF$12,3,$B117)&lt;&gt;"可",COUNTIFS($A$7:A116,$A117,$F$7:F116,3)&gt;0,COUNTIF($F$7:F116,3)&gt;='設定'!C9,O115&gt;='設定'!D9),1000000,COUNTIF($F$7:F116,3)*100+MOD(2+28+'設定'!$F$3,6))</x:f>
        <x:v>1000000</x:v>
      </x:c>
      <x:c r="J117" s="2" t="n">
        <x:f>IF(OR($D117=0,INDEX('希望休'!$B$7:$AF$12,4,$B117)&lt;&gt;"可",COUNTIFS($A$7:A116,$A117,$F$7:F116,4)&gt;0,COUNTIF($F$7:F116,4)&gt;='設定'!C10,P115&gt;='設定'!D10),1000000,COUNTIF($F$7:F116,4)*100+MOD(3+28+'設定'!$F$3,6))</x:f>
        <x:v>1801</x:v>
      </x:c>
      <x:c r="K117" s="2" t="n">
        <x:f>IF(OR($D117=0,INDEX('希望休'!$B$7:$AF$12,5,$B117)&lt;&gt;"可",COUNTIFS($A$7:A116,$A117,$F$7:F116,5)&gt;0,COUNTIF($F$7:F116,5)&gt;='設定'!C11,Q115&gt;='設定'!D11),1000000,COUNTIF($F$7:F116,5)*100+MOD(4+28+'設定'!$F$3,6))</x:f>
        <x:v>1802</x:v>
      </x:c>
      <x:c r="L117" s="2" t="n">
        <x:f>IF(OR($D117=0,INDEX('希望休'!$B$7:$AF$12,6,$B117)&lt;&gt;"可",COUNTIFS($A$7:A116,$A117,$F$7:F116,6)&gt;0,COUNTIF($F$7:F116,6)&gt;='設定'!C12,R115&gt;='設定'!D12),1000000,COUNTIF($F$7:F116,6)*100+MOD(5+28+'設定'!$F$3,6))</x:f>
        <x:v>1803</x:v>
      </x:c>
      <x:c r="M117" s="2" t="n">
        <x:f>IF($A117="",0,IF(COUNTIF($F$116:F117,1)&gt;0,M115+1,0))</x:f>
        <x:v>0</x:v>
      </x:c>
      <x:c r="N117" s="2" t="n">
        <x:f>IF($A117="",0,IF(COUNTIF($F$116:F117,2)&gt;0,N115+1,0))</x:f>
        <x:v>0</x:v>
      </x:c>
      <x:c r="O117" s="2" t="n">
        <x:f>IF($A117="",0,IF(COUNTIF($F$116:F117,3)&gt;0,O115+1,0))</x:f>
        <x:v>2</x:v>
      </x:c>
      <x:c r="P117" s="2" t="n">
        <x:f>IF($A117="",0,IF(COUNTIF($F$116:F117,4)&gt;0,P115+1,0))</x:f>
        <x:v>3</x:v>
      </x:c>
      <x:c r="Q117" s="2" t="n">
        <x:f>IF($A117="",0,IF(COUNTIF($F$116:F117,5)&gt;0,Q115+1,0))</x:f>
        <x:v>0</x:v>
      </x:c>
      <x:c r="R117" s="2" t="n">
        <x:f>IF($A117="",0,IF(COUNTIF($F$116:F117,6)&gt;0,R115+1,0))</x:f>
        <x:v>0</x:v>
      </x:c>
    </x:row>
    <x:row r="118" ht="24" customHeight="1">
      <x:c r="A118" s="15" t="n">
        <x:f>'設定'!AC16</x:f>
        <x:v>46293</x:v>
      </x:c>
      <x:c r="B118" s="2" t="n">
        <x:f>28</x:f>
        <x:v>28</x:v>
      </x:c>
      <x:c r="C118" s="2" t="str">
        <x:f>"遅"</x:f>
        <x:v>遅</x:v>
      </x:c>
      <x:c r="D118" s="2" t="n">
        <x:f>IF(AND('設定'!$B$21="入力OK",'設定'!AC16&lt;&gt;"",'設定'!AC18&gt;=1),1,0)</x:f>
        <x:v>1</x:v>
      </x:c>
      <x:c r="E118" s="2" t="str">
        <x:f>IF(D118=0,"",IF(F118=0,"不足",INDEX('設定'!$B$7:$B$12,F118)))</x:f>
        <x:v>スタッフE</x:v>
      </x:c>
      <x:c r="F118" s="2" t="n">
        <x:f>IF(D118=0,"",IF(MIN(G118:L118)&gt;=1000000,0,MATCH(MIN(G118:L118),G118:L118,0)))</x:f>
        <x:v>5</x:v>
      </x:c>
      <x:c r="G118" s="2" t="n">
        <x:f>IF(OR($D118=0,INDEX('希望休'!$B$7:$AF$12,1,$B118)&lt;&gt;"可",COUNTIFS($A$7:A117,$A118,$F$7:F117,1)&gt;0,COUNTIF($F$7:F117,1)&gt;='設定'!C7,M115&gt;='設定'!D7),1000000,COUNTIF($F$7:F117,1)*100+MOD(0+28+'設定'!$F$3,6))</x:f>
        <x:v>1804</x:v>
      </x:c>
      <x:c r="H118" s="2" t="n">
        <x:f>IF(OR($D118=0,INDEX('希望休'!$B$7:$AF$12,2,$B118)&lt;&gt;"可",COUNTIFS($A$7:A117,$A118,$F$7:F117,2)&gt;0,COUNTIF($F$7:F117,2)&gt;='設定'!C8,N115&gt;='設定'!D8),1000000,COUNTIF($F$7:F117,2)*100+MOD(1+28+'設定'!$F$3,6))</x:f>
        <x:v>1805</x:v>
      </x:c>
      <x:c r="I118" s="2" t="n">
        <x:f>IF(OR($D118=0,INDEX('希望休'!$B$7:$AF$12,3,$B118)&lt;&gt;"可",COUNTIFS($A$7:A117,$A118,$F$7:F117,3)&gt;0,COUNTIF($F$7:F117,3)&gt;='設定'!C9,O115&gt;='設定'!D9),1000000,COUNTIF($F$7:F117,3)*100+MOD(2+28+'設定'!$F$3,6))</x:f>
        <x:v>1000000</x:v>
      </x:c>
      <x:c r="J118" s="2" t="n">
        <x:f>IF(OR($D118=0,INDEX('希望休'!$B$7:$AF$12,4,$B118)&lt;&gt;"可",COUNTIFS($A$7:A117,$A118,$F$7:F117,4)&gt;0,COUNTIF($F$7:F117,4)&gt;='設定'!C10,P115&gt;='設定'!D10),1000000,COUNTIF($F$7:F117,4)*100+MOD(3+28+'設定'!$F$3,6))</x:f>
        <x:v>1000000</x:v>
      </x:c>
      <x:c r="K118" s="2" t="n">
        <x:f>IF(OR($D118=0,INDEX('希望休'!$B$7:$AF$12,5,$B118)&lt;&gt;"可",COUNTIFS($A$7:A117,$A118,$F$7:F117,5)&gt;0,COUNTIF($F$7:F117,5)&gt;='設定'!C11,Q115&gt;='設定'!D11),1000000,COUNTIF($F$7:F117,5)*100+MOD(4+28+'設定'!$F$3,6))</x:f>
        <x:v>1802</x:v>
      </x:c>
      <x:c r="L118" s="2" t="n">
        <x:f>IF(OR($D118=0,INDEX('希望休'!$B$7:$AF$12,6,$B118)&lt;&gt;"可",COUNTIFS($A$7:A117,$A118,$F$7:F117,6)&gt;0,COUNTIF($F$7:F117,6)&gt;='設定'!C12,R115&gt;='設定'!D12),1000000,COUNTIF($F$7:F117,6)*100+MOD(5+28+'設定'!$F$3,6))</x:f>
        <x:v>1803</x:v>
      </x:c>
      <x:c r="M118" s="2" t="n">
        <x:f>IF($A118="",0,IF(COUNTIF($F$116:F118,1)&gt;0,M115+1,0))</x:f>
        <x:v>0</x:v>
      </x:c>
      <x:c r="N118" s="2" t="n">
        <x:f>IF($A118="",0,IF(COUNTIF($F$116:F118,2)&gt;0,N115+1,0))</x:f>
        <x:v>0</x:v>
      </x:c>
      <x:c r="O118" s="2" t="n">
        <x:f>IF($A118="",0,IF(COUNTIF($F$116:F118,3)&gt;0,O115+1,0))</x:f>
        <x:v>2</x:v>
      </x:c>
      <x:c r="P118" s="2" t="n">
        <x:f>IF($A118="",0,IF(COUNTIF($F$116:F118,4)&gt;0,P115+1,0))</x:f>
        <x:v>3</x:v>
      </x:c>
      <x:c r="Q118" s="2" t="n">
        <x:f>IF($A118="",0,IF(COUNTIF($F$116:F118,5)&gt;0,Q115+1,0))</x:f>
        <x:v>3</x:v>
      </x:c>
      <x:c r="R118" s="2" t="n">
        <x:f>IF($A118="",0,IF(COUNTIF($F$116:F118,6)&gt;0,R115+1,0))</x:f>
        <x:v>0</x:v>
      </x:c>
    </x:row>
    <x:row r="119" ht="24" customHeight="1">
      <x:c r="A119" s="15" t="n">
        <x:f>'設定'!AC16</x:f>
        <x:v>46293</x:v>
      </x:c>
      <x:c r="B119" s="2" t="n">
        <x:f>28</x:f>
        <x:v>28</x:v>
      </x:c>
      <x:c r="C119" s="2" t="str">
        <x:f>"遅"</x:f>
        <x:v>遅</x:v>
      </x:c>
      <x:c r="D119" s="2" t="n">
        <x:f>IF(AND('設定'!$B$21="入力OK",'設定'!AC16&lt;&gt;"",'設定'!AC18&gt;=2),1,0)</x:f>
        <x:v>1</x:v>
      </x:c>
      <x:c r="E119" s="2" t="str">
        <x:f>IF(D119=0,"",IF(F119=0,"不足",INDEX('設定'!$B$7:$B$12,F119)))</x:f>
        <x:v>スタッフF</x:v>
      </x:c>
      <x:c r="F119" s="2" t="n">
        <x:f>IF(D119=0,"",IF(MIN(G119:L119)&gt;=1000000,0,MATCH(MIN(G119:L119),G119:L119,0)))</x:f>
        <x:v>6</x:v>
      </x:c>
      <x:c r="G119" s="2" t="n">
        <x:f>IF(OR($D119=0,INDEX('希望休'!$B$7:$AF$12,1,$B119)&lt;&gt;"可",COUNTIFS($A$7:A118,$A119,$F$7:F118,1)&gt;0,COUNTIF($F$7:F118,1)&gt;='設定'!C7,M115&gt;='設定'!D7),1000000,COUNTIF($F$7:F118,1)*100+MOD(0+28+'設定'!$F$3,6))</x:f>
        <x:v>1804</x:v>
      </x:c>
      <x:c r="H119" s="2" t="n">
        <x:f>IF(OR($D119=0,INDEX('希望休'!$B$7:$AF$12,2,$B119)&lt;&gt;"可",COUNTIFS($A$7:A118,$A119,$F$7:F118,2)&gt;0,COUNTIF($F$7:F118,2)&gt;='設定'!C8,N115&gt;='設定'!D8),1000000,COUNTIF($F$7:F118,2)*100+MOD(1+28+'設定'!$F$3,6))</x:f>
        <x:v>1805</x:v>
      </x:c>
      <x:c r="I119" s="2" t="n">
        <x:f>IF(OR($D119=0,INDEX('希望休'!$B$7:$AF$12,3,$B119)&lt;&gt;"可",COUNTIFS($A$7:A118,$A119,$F$7:F118,3)&gt;0,COUNTIF($F$7:F118,3)&gt;='設定'!C9,O115&gt;='設定'!D9),1000000,COUNTIF($F$7:F118,3)*100+MOD(2+28+'設定'!$F$3,6))</x:f>
        <x:v>1000000</x:v>
      </x:c>
      <x:c r="J119" s="2" t="n">
        <x:f>IF(OR($D119=0,INDEX('希望休'!$B$7:$AF$12,4,$B119)&lt;&gt;"可",COUNTIFS($A$7:A118,$A119,$F$7:F118,4)&gt;0,COUNTIF($F$7:F118,4)&gt;='設定'!C10,P115&gt;='設定'!D10),1000000,COUNTIF($F$7:F118,4)*100+MOD(3+28+'設定'!$F$3,6))</x:f>
        <x:v>1000000</x:v>
      </x:c>
      <x:c r="K119" s="2" t="n">
        <x:f>IF(OR($D119=0,INDEX('希望休'!$B$7:$AF$12,5,$B119)&lt;&gt;"可",COUNTIFS($A$7:A118,$A119,$F$7:F118,5)&gt;0,COUNTIF($F$7:F118,5)&gt;='設定'!C11,Q115&gt;='設定'!D11),1000000,COUNTIF($F$7:F118,5)*100+MOD(4+28+'設定'!$F$3,6))</x:f>
        <x:v>1000000</x:v>
      </x:c>
      <x:c r="L119" s="2" t="n">
        <x:f>IF(OR($D119=0,INDEX('希望休'!$B$7:$AF$12,6,$B119)&lt;&gt;"可",COUNTIFS($A$7:A118,$A119,$F$7:F118,6)&gt;0,COUNTIF($F$7:F118,6)&gt;='設定'!C12,R115&gt;='設定'!D12),1000000,COUNTIF($F$7:F118,6)*100+MOD(5+28+'設定'!$F$3,6))</x:f>
        <x:v>1803</x:v>
      </x:c>
      <x:c r="M119" s="2" t="n">
        <x:f>IF($A119="",0,IF(COUNTIF($F$116:F119,1)&gt;0,M115+1,0))</x:f>
        <x:v>0</x:v>
      </x:c>
      <x:c r="N119" s="2" t="n">
        <x:f>IF($A119="",0,IF(COUNTIF($F$116:F119,2)&gt;0,N115+1,0))</x:f>
        <x:v>0</x:v>
      </x:c>
      <x:c r="O119" s="2" t="n">
        <x:f>IF($A119="",0,IF(COUNTIF($F$116:F119,3)&gt;0,O115+1,0))</x:f>
        <x:v>2</x:v>
      </x:c>
      <x:c r="P119" s="2" t="n">
        <x:f>IF($A119="",0,IF(COUNTIF($F$116:F119,4)&gt;0,P115+1,0))</x:f>
        <x:v>3</x:v>
      </x:c>
      <x:c r="Q119" s="2" t="n">
        <x:f>IF($A119="",0,IF(COUNTIF($F$116:F119,5)&gt;0,Q115+1,0))</x:f>
        <x:v>3</x:v>
      </x:c>
      <x:c r="R119" s="2" t="n">
        <x:f>IF($A119="",0,IF(COUNTIF($F$116:F119,6)&gt;0,R115+1,0))</x:f>
        <x:v>1</x:v>
      </x:c>
    </x:row>
    <x:row r="120" ht="24" customHeight="1">
      <x:c r="A120" s="15" t="n">
        <x:f>'設定'!AD16</x:f>
        <x:v>46294</x:v>
      </x:c>
      <x:c r="B120" s="2" t="n">
        <x:f>29</x:f>
        <x:v>29</x:v>
      </x:c>
      <x:c r="C120" s="2" t="str">
        <x:f>"早"</x:f>
        <x:v>早</x:v>
      </x:c>
      <x:c r="D120" s="2" t="n">
        <x:f>IF(AND('設定'!$B$21="入力OK",'設定'!AD16&lt;&gt;"",'設定'!AD17&gt;=1),1,0)</x:f>
        <x:v>1</x:v>
      </x:c>
      <x:c r="E120" s="2" t="str">
        <x:f>IF(D120=0,"",IF(F120=0,"不足",INDEX('設定'!$B$7:$B$12,F120)))</x:f>
        <x:v>スタッフB</x:v>
      </x:c>
      <x:c r="F120" s="2" t="n">
        <x:f>IF(D120=0,"",IF(MIN(G120:L120)&gt;=1000000,0,MATCH(MIN(G120:L120),G120:L120,0)))</x:f>
        <x:v>2</x:v>
      </x:c>
      <x:c r="G120" s="2" t="n">
        <x:f>IF(OR($D120=0,INDEX('希望休'!$B$7:$AF$12,1,$B120)&lt;&gt;"可",COUNTIFS($A$7:A119,$A120,$F$7:F119,1)&gt;0,COUNTIF($F$7:F119,1)&gt;='設定'!C7,M119&gt;='設定'!D7),1000000,COUNTIF($F$7:F119,1)*100+MOD(0+29+'設定'!$F$3,6))</x:f>
        <x:v>1805</x:v>
      </x:c>
      <x:c r="H120" s="2" t="n">
        <x:f>IF(OR($D120=0,INDEX('希望休'!$B$7:$AF$12,2,$B120)&lt;&gt;"可",COUNTIFS($A$7:A119,$A120,$F$7:F119,2)&gt;0,COUNTIF($F$7:F119,2)&gt;='設定'!C8,N119&gt;='設定'!D8),1000000,COUNTIF($F$7:F119,2)*100+MOD(1+29+'設定'!$F$3,6))</x:f>
        <x:v>1800</x:v>
      </x:c>
      <x:c r="I120" s="2" t="n">
        <x:f>IF(OR($D120=0,INDEX('希望休'!$B$7:$AF$12,3,$B120)&lt;&gt;"可",COUNTIFS($A$7:A119,$A120,$F$7:F119,3)&gt;0,COUNTIF($F$7:F119,3)&gt;='設定'!C9,O119&gt;='設定'!D9),1000000,COUNTIF($F$7:F119,3)*100+MOD(2+29+'設定'!$F$3,6))</x:f>
        <x:v>1901</x:v>
      </x:c>
      <x:c r="J120" s="2" t="n">
        <x:f>IF(OR($D120=0,INDEX('希望休'!$B$7:$AF$12,4,$B120)&lt;&gt;"可",COUNTIFS($A$7:A119,$A120,$F$7:F119,4)&gt;0,COUNTIF($F$7:F119,4)&gt;='設定'!C10,P119&gt;='設定'!D10),1000000,COUNTIF($F$7:F119,4)*100+MOD(3+29+'設定'!$F$3,6))</x:f>
        <x:v>1902</x:v>
      </x:c>
      <x:c r="K120" s="2" t="n">
        <x:f>IF(OR($D120=0,INDEX('希望休'!$B$7:$AF$12,5,$B120)&lt;&gt;"可",COUNTIFS($A$7:A119,$A120,$F$7:F119,5)&gt;0,COUNTIF($F$7:F119,5)&gt;='設定'!C11,Q119&gt;='設定'!D11),1000000,COUNTIF($F$7:F119,5)*100+MOD(4+29+'設定'!$F$3,6))</x:f>
        <x:v>1903</x:v>
      </x:c>
      <x:c r="L120" s="2" t="n">
        <x:f>IF(OR($D120=0,INDEX('希望休'!$B$7:$AF$12,6,$B120)&lt;&gt;"可",COUNTIFS($A$7:A119,$A120,$F$7:F119,6)&gt;0,COUNTIF($F$7:F119,6)&gt;='設定'!C12,R119&gt;='設定'!D12),1000000,COUNTIF($F$7:F119,6)*100+MOD(5+29+'設定'!$F$3,6))</x:f>
        <x:v>1904</x:v>
      </x:c>
      <x:c r="M120" s="2" t="n">
        <x:f>IF($A120="",0,IF(COUNTIF($F$120:F120,1)&gt;0,M119+1,0))</x:f>
        <x:v>0</x:v>
      </x:c>
      <x:c r="N120" s="2" t="n">
        <x:f>IF($A120="",0,IF(COUNTIF($F$120:F120,2)&gt;0,N119+1,0))</x:f>
        <x:v>1</x:v>
      </x:c>
      <x:c r="O120" s="2" t="n">
        <x:f>IF($A120="",0,IF(COUNTIF($F$120:F120,3)&gt;0,O119+1,0))</x:f>
        <x:v>0</x:v>
      </x:c>
      <x:c r="P120" s="2" t="n">
        <x:f>IF($A120="",0,IF(COUNTIF($F$120:F120,4)&gt;0,P119+1,0))</x:f>
        <x:v>0</x:v>
      </x:c>
      <x:c r="Q120" s="2" t="n">
        <x:f>IF($A120="",0,IF(COUNTIF($F$120:F120,5)&gt;0,Q119+1,0))</x:f>
        <x:v>0</x:v>
      </x:c>
      <x:c r="R120" s="2" t="n">
        <x:f>IF($A120="",0,IF(COUNTIF($F$120:F120,6)&gt;0,R119+1,0))</x:f>
        <x:v>0</x:v>
      </x:c>
    </x:row>
    <x:row r="121" ht="24" customHeight="1">
      <x:c r="A121" s="15" t="n">
        <x:f>'設定'!AD16</x:f>
        <x:v>46294</x:v>
      </x:c>
      <x:c r="B121" s="2" t="n">
        <x:f>29</x:f>
        <x:v>29</x:v>
      </x:c>
      <x:c r="C121" s="2" t="str">
        <x:f>"早"</x:f>
        <x:v>早</x:v>
      </x:c>
      <x:c r="D121" s="2" t="n">
        <x:f>IF(AND('設定'!$B$21="入力OK",'設定'!AD16&lt;&gt;"",'設定'!AD17&gt;=2),1,0)</x:f>
        <x:v>1</x:v>
      </x:c>
      <x:c r="E121" s="2" t="str">
        <x:f>IF(D121=0,"",IF(F121=0,"不足",INDEX('設定'!$B$7:$B$12,F121)))</x:f>
        <x:v>スタッフA</x:v>
      </x:c>
      <x:c r="F121" s="2" t="n">
        <x:f>IF(D121=0,"",IF(MIN(G121:L121)&gt;=1000000,0,MATCH(MIN(G121:L121),G121:L121,0)))</x:f>
        <x:v>1</x:v>
      </x:c>
      <x:c r="G121" s="2" t="n">
        <x:f>IF(OR($D121=0,INDEX('希望休'!$B$7:$AF$12,1,$B121)&lt;&gt;"可",COUNTIFS($A$7:A120,$A121,$F$7:F120,1)&gt;0,COUNTIF($F$7:F120,1)&gt;='設定'!C7,M119&gt;='設定'!D7),1000000,COUNTIF($F$7:F120,1)*100+MOD(0+29+'設定'!$F$3,6))</x:f>
        <x:v>1805</x:v>
      </x:c>
      <x:c r="H121" s="2" t="n">
        <x:f>IF(OR($D121=0,INDEX('希望休'!$B$7:$AF$12,2,$B121)&lt;&gt;"可",COUNTIFS($A$7:A120,$A121,$F$7:F120,2)&gt;0,COUNTIF($F$7:F120,2)&gt;='設定'!C8,N119&gt;='設定'!D8),1000000,COUNTIF($F$7:F120,2)*100+MOD(1+29+'設定'!$F$3,6))</x:f>
        <x:v>1000000</x:v>
      </x:c>
      <x:c r="I121" s="2" t="n">
        <x:f>IF(OR($D121=0,INDEX('希望休'!$B$7:$AF$12,3,$B121)&lt;&gt;"可",COUNTIFS($A$7:A120,$A121,$F$7:F120,3)&gt;0,COUNTIF($F$7:F120,3)&gt;='設定'!C9,O119&gt;='設定'!D9),1000000,COUNTIF($F$7:F120,3)*100+MOD(2+29+'設定'!$F$3,6))</x:f>
        <x:v>1901</x:v>
      </x:c>
      <x:c r="J121" s="2" t="n">
        <x:f>IF(OR($D121=0,INDEX('希望休'!$B$7:$AF$12,4,$B121)&lt;&gt;"可",COUNTIFS($A$7:A120,$A121,$F$7:F120,4)&gt;0,COUNTIF($F$7:F120,4)&gt;='設定'!C10,P119&gt;='設定'!D10),1000000,COUNTIF($F$7:F120,4)*100+MOD(3+29+'設定'!$F$3,6))</x:f>
        <x:v>1902</x:v>
      </x:c>
      <x:c r="K121" s="2" t="n">
        <x:f>IF(OR($D121=0,INDEX('希望休'!$B$7:$AF$12,5,$B121)&lt;&gt;"可",COUNTIFS($A$7:A120,$A121,$F$7:F120,5)&gt;0,COUNTIF($F$7:F120,5)&gt;='設定'!C11,Q119&gt;='設定'!D11),1000000,COUNTIF($F$7:F120,5)*100+MOD(4+29+'設定'!$F$3,6))</x:f>
        <x:v>1903</x:v>
      </x:c>
      <x:c r="L121" s="2" t="n">
        <x:f>IF(OR($D121=0,INDEX('希望休'!$B$7:$AF$12,6,$B121)&lt;&gt;"可",COUNTIFS($A$7:A120,$A121,$F$7:F120,6)&gt;0,COUNTIF($F$7:F120,6)&gt;='設定'!C12,R119&gt;='設定'!D12),1000000,COUNTIF($F$7:F120,6)*100+MOD(5+29+'設定'!$F$3,6))</x:f>
        <x:v>1904</x:v>
      </x:c>
      <x:c r="M121" s="2" t="n">
        <x:f>IF($A121="",0,IF(COUNTIF($F$120:F121,1)&gt;0,M119+1,0))</x:f>
        <x:v>1</x:v>
      </x:c>
      <x:c r="N121" s="2" t="n">
        <x:f>IF($A121="",0,IF(COUNTIF($F$120:F121,2)&gt;0,N119+1,0))</x:f>
        <x:v>1</x:v>
      </x:c>
      <x:c r="O121" s="2" t="n">
        <x:f>IF($A121="",0,IF(COUNTIF($F$120:F121,3)&gt;0,O119+1,0))</x:f>
        <x:v>0</x:v>
      </x:c>
      <x:c r="P121" s="2" t="n">
        <x:f>IF($A121="",0,IF(COUNTIF($F$120:F121,4)&gt;0,P119+1,0))</x:f>
        <x:v>0</x:v>
      </x:c>
      <x:c r="Q121" s="2" t="n">
        <x:f>IF($A121="",0,IF(COUNTIF($F$120:F121,5)&gt;0,Q119+1,0))</x:f>
        <x:v>0</x:v>
      </x:c>
      <x:c r="R121" s="2" t="n">
        <x:f>IF($A121="",0,IF(COUNTIF($F$120:F121,6)&gt;0,R119+1,0))</x:f>
        <x:v>0</x:v>
      </x:c>
    </x:row>
    <x:row r="122" ht="24" customHeight="1">
      <x:c r="A122" s="15" t="n">
        <x:f>'設定'!AD16</x:f>
        <x:v>46294</x:v>
      </x:c>
      <x:c r="B122" s="2" t="n">
        <x:f>29</x:f>
        <x:v>29</x:v>
      </x:c>
      <x:c r="C122" s="2" t="str">
        <x:f>"遅"</x:f>
        <x:v>遅</x:v>
      </x:c>
      <x:c r="D122" s="2" t="n">
        <x:f>IF(AND('設定'!$B$21="入力OK",'設定'!AD16&lt;&gt;"",'設定'!AD18&gt;=1),1,0)</x:f>
        <x:v>1</x:v>
      </x:c>
      <x:c r="E122" s="2" t="str">
        <x:f>IF(D122=0,"",IF(F122=0,"不足",INDEX('設定'!$B$7:$B$12,F122)))</x:f>
        <x:v>スタッフC</x:v>
      </x:c>
      <x:c r="F122" s="2" t="n">
        <x:f>IF(D122=0,"",IF(MIN(G122:L122)&gt;=1000000,0,MATCH(MIN(G122:L122),G122:L122,0)))</x:f>
        <x:v>3</x:v>
      </x:c>
      <x:c r="G122" s="2" t="n">
        <x:f>IF(OR($D122=0,INDEX('希望休'!$B$7:$AF$12,1,$B122)&lt;&gt;"可",COUNTIFS($A$7:A121,$A122,$F$7:F121,1)&gt;0,COUNTIF($F$7:F121,1)&gt;='設定'!C7,M119&gt;='設定'!D7),1000000,COUNTIF($F$7:F121,1)*100+MOD(0+29+'設定'!$F$3,6))</x:f>
        <x:v>1000000</x:v>
      </x:c>
      <x:c r="H122" s="2" t="n">
        <x:f>IF(OR($D122=0,INDEX('希望休'!$B$7:$AF$12,2,$B122)&lt;&gt;"可",COUNTIFS($A$7:A121,$A122,$F$7:F121,2)&gt;0,COUNTIF($F$7:F121,2)&gt;='設定'!C8,N119&gt;='設定'!D8),1000000,COUNTIF($F$7:F121,2)*100+MOD(1+29+'設定'!$F$3,6))</x:f>
        <x:v>1000000</x:v>
      </x:c>
      <x:c r="I122" s="2" t="n">
        <x:f>IF(OR($D122=0,INDEX('希望休'!$B$7:$AF$12,3,$B122)&lt;&gt;"可",COUNTIFS($A$7:A121,$A122,$F$7:F121,3)&gt;0,COUNTIF($F$7:F121,3)&gt;='設定'!C9,O119&gt;='設定'!D9),1000000,COUNTIF($F$7:F121,3)*100+MOD(2+29+'設定'!$F$3,6))</x:f>
        <x:v>1901</x:v>
      </x:c>
      <x:c r="J122" s="2" t="n">
        <x:f>IF(OR($D122=0,INDEX('希望休'!$B$7:$AF$12,4,$B122)&lt;&gt;"可",COUNTIFS($A$7:A121,$A122,$F$7:F121,4)&gt;0,COUNTIF($F$7:F121,4)&gt;='設定'!C10,P119&gt;='設定'!D10),1000000,COUNTIF($F$7:F121,4)*100+MOD(3+29+'設定'!$F$3,6))</x:f>
        <x:v>1902</x:v>
      </x:c>
      <x:c r="K122" s="2" t="n">
        <x:f>IF(OR($D122=0,INDEX('希望休'!$B$7:$AF$12,5,$B122)&lt;&gt;"可",COUNTIFS($A$7:A121,$A122,$F$7:F121,5)&gt;0,COUNTIF($F$7:F121,5)&gt;='設定'!C11,Q119&gt;='設定'!D11),1000000,COUNTIF($F$7:F121,5)*100+MOD(4+29+'設定'!$F$3,6))</x:f>
        <x:v>1903</x:v>
      </x:c>
      <x:c r="L122" s="2" t="n">
        <x:f>IF(OR($D122=0,INDEX('希望休'!$B$7:$AF$12,6,$B122)&lt;&gt;"可",COUNTIFS($A$7:A121,$A122,$F$7:F121,6)&gt;0,COUNTIF($F$7:F121,6)&gt;='設定'!C12,R119&gt;='設定'!D12),1000000,COUNTIF($F$7:F121,6)*100+MOD(5+29+'設定'!$F$3,6))</x:f>
        <x:v>1904</x:v>
      </x:c>
      <x:c r="M122" s="2" t="n">
        <x:f>IF($A122="",0,IF(COUNTIF($F$120:F122,1)&gt;0,M119+1,0))</x:f>
        <x:v>1</x:v>
      </x:c>
      <x:c r="N122" s="2" t="n">
        <x:f>IF($A122="",0,IF(COUNTIF($F$120:F122,2)&gt;0,N119+1,0))</x:f>
        <x:v>1</x:v>
      </x:c>
      <x:c r="O122" s="2" t="n">
        <x:f>IF($A122="",0,IF(COUNTIF($F$120:F122,3)&gt;0,O119+1,0))</x:f>
        <x:v>3</x:v>
      </x:c>
      <x:c r="P122" s="2" t="n">
        <x:f>IF($A122="",0,IF(COUNTIF($F$120:F122,4)&gt;0,P119+1,0))</x:f>
        <x:v>0</x:v>
      </x:c>
      <x:c r="Q122" s="2" t="n">
        <x:f>IF($A122="",0,IF(COUNTIF($F$120:F122,5)&gt;0,Q119+1,0))</x:f>
        <x:v>0</x:v>
      </x:c>
      <x:c r="R122" s="2" t="n">
        <x:f>IF($A122="",0,IF(COUNTIF($F$120:F122,6)&gt;0,R119+1,0))</x:f>
        <x:v>0</x:v>
      </x:c>
    </x:row>
    <x:row r="123" ht="24" customHeight="1">
      <x:c r="A123" s="15" t="n">
        <x:f>'設定'!AD16</x:f>
        <x:v>46294</x:v>
      </x:c>
      <x:c r="B123" s="2" t="n">
        <x:f>29</x:f>
        <x:v>29</x:v>
      </x:c>
      <x:c r="C123" s="2" t="str">
        <x:f>"遅"</x:f>
        <x:v>遅</x:v>
      </x:c>
      <x:c r="D123" s="2" t="n">
        <x:f>IF(AND('設定'!$B$21="入力OK",'設定'!AD16&lt;&gt;"",'設定'!AD18&gt;=2),1,0)</x:f>
        <x:v>1</x:v>
      </x:c>
      <x:c r="E123" s="2" t="str">
        <x:f>IF(D123=0,"",IF(F123=0,"不足",INDEX('設定'!$B$7:$B$12,F123)))</x:f>
        <x:v>スタッフD</x:v>
      </x:c>
      <x:c r="F123" s="2" t="n">
        <x:f>IF(D123=0,"",IF(MIN(G123:L123)&gt;=1000000,0,MATCH(MIN(G123:L123),G123:L123,0)))</x:f>
        <x:v>4</x:v>
      </x:c>
      <x:c r="G123" s="2" t="n">
        <x:f>IF(OR($D123=0,INDEX('希望休'!$B$7:$AF$12,1,$B123)&lt;&gt;"可",COUNTIFS($A$7:A122,$A123,$F$7:F122,1)&gt;0,COUNTIF($F$7:F122,1)&gt;='設定'!C7,M119&gt;='設定'!D7),1000000,COUNTIF($F$7:F122,1)*100+MOD(0+29+'設定'!$F$3,6))</x:f>
        <x:v>1000000</x:v>
      </x:c>
      <x:c r="H123" s="2" t="n">
        <x:f>IF(OR($D123=0,INDEX('希望休'!$B$7:$AF$12,2,$B123)&lt;&gt;"可",COUNTIFS($A$7:A122,$A123,$F$7:F122,2)&gt;0,COUNTIF($F$7:F122,2)&gt;='設定'!C8,N119&gt;='設定'!D8),1000000,COUNTIF($F$7:F122,2)*100+MOD(1+29+'設定'!$F$3,6))</x:f>
        <x:v>1000000</x:v>
      </x:c>
      <x:c r="I123" s="2" t="n">
        <x:f>IF(OR($D123=0,INDEX('希望休'!$B$7:$AF$12,3,$B123)&lt;&gt;"可",COUNTIFS($A$7:A122,$A123,$F$7:F122,3)&gt;0,COUNTIF($F$7:F122,3)&gt;='設定'!C9,O119&gt;='設定'!D9),1000000,COUNTIF($F$7:F122,3)*100+MOD(2+29+'設定'!$F$3,6))</x:f>
        <x:v>1000000</x:v>
      </x:c>
      <x:c r="J123" s="2" t="n">
        <x:f>IF(OR($D123=0,INDEX('希望休'!$B$7:$AF$12,4,$B123)&lt;&gt;"可",COUNTIFS($A$7:A122,$A123,$F$7:F122,4)&gt;0,COUNTIF($F$7:F122,4)&gt;='設定'!C10,P119&gt;='設定'!D10),1000000,COUNTIF($F$7:F122,4)*100+MOD(3+29+'設定'!$F$3,6))</x:f>
        <x:v>1902</x:v>
      </x:c>
      <x:c r="K123" s="2" t="n">
        <x:f>IF(OR($D123=0,INDEX('希望休'!$B$7:$AF$12,5,$B123)&lt;&gt;"可",COUNTIFS($A$7:A122,$A123,$F$7:F122,5)&gt;0,COUNTIF($F$7:F122,5)&gt;='設定'!C11,Q119&gt;='設定'!D11),1000000,COUNTIF($F$7:F122,5)*100+MOD(4+29+'設定'!$F$3,6))</x:f>
        <x:v>1903</x:v>
      </x:c>
      <x:c r="L123" s="2" t="n">
        <x:f>IF(OR($D123=0,INDEX('希望休'!$B$7:$AF$12,6,$B123)&lt;&gt;"可",COUNTIFS($A$7:A122,$A123,$F$7:F122,6)&gt;0,COUNTIF($F$7:F122,6)&gt;='設定'!C12,R119&gt;='設定'!D12),1000000,COUNTIF($F$7:F122,6)*100+MOD(5+29+'設定'!$F$3,6))</x:f>
        <x:v>1904</x:v>
      </x:c>
      <x:c r="M123" s="2" t="n">
        <x:f>IF($A123="",0,IF(COUNTIF($F$120:F123,1)&gt;0,M119+1,0))</x:f>
        <x:v>1</x:v>
      </x:c>
      <x:c r="N123" s="2" t="n">
        <x:f>IF($A123="",0,IF(COUNTIF($F$120:F123,2)&gt;0,N119+1,0))</x:f>
        <x:v>1</x:v>
      </x:c>
      <x:c r="O123" s="2" t="n">
        <x:f>IF($A123="",0,IF(COUNTIF($F$120:F123,3)&gt;0,O119+1,0))</x:f>
        <x:v>3</x:v>
      </x:c>
      <x:c r="P123" s="2" t="n">
        <x:f>IF($A123="",0,IF(COUNTIF($F$120:F123,4)&gt;0,P119+1,0))</x:f>
        <x:v>4</x:v>
      </x:c>
      <x:c r="Q123" s="2" t="n">
        <x:f>IF($A123="",0,IF(COUNTIF($F$120:F123,5)&gt;0,Q119+1,0))</x:f>
        <x:v>0</x:v>
      </x:c>
      <x:c r="R123" s="2" t="n">
        <x:f>IF($A123="",0,IF(COUNTIF($F$120:F123,6)&gt;0,R119+1,0))</x:f>
        <x:v>0</x:v>
      </x:c>
    </x:row>
    <x:row r="124" ht="24" customHeight="1">
      <x:c r="A124" s="15" t="n">
        <x:f>'設定'!AE16</x:f>
        <x:v>46295</x:v>
      </x:c>
      <x:c r="B124" s="2" t="n">
        <x:f>30</x:f>
        <x:v>30</x:v>
      </x:c>
      <x:c r="C124" s="2" t="str">
        <x:f>"早"</x:f>
        <x:v>早</x:v>
      </x:c>
      <x:c r="D124" s="2" t="n">
        <x:f>IF(AND('設定'!$B$21="入力OK",'設定'!AE16&lt;&gt;"",'設定'!AE17&gt;=1),1,0)</x:f>
        <x:v>1</x:v>
      </x:c>
      <x:c r="E124" s="2" t="str">
        <x:f>IF(D124=0,"",IF(F124=0,"不足",INDEX('設定'!$B$7:$B$12,F124)))</x:f>
        <x:v>スタッフA</x:v>
      </x:c>
      <x:c r="F124" s="2" t="n">
        <x:f>IF(D124=0,"",IF(MIN(G124:L124)&gt;=1000000,0,MATCH(MIN(G124:L124),G124:L124,0)))</x:f>
        <x:v>1</x:v>
      </x:c>
      <x:c r="G124" s="2" t="n">
        <x:f>IF(OR($D124=0,INDEX('希望休'!$B$7:$AF$12,1,$B124)&lt;&gt;"可",COUNTIFS($A$7:A123,$A124,$F$7:F123,1)&gt;0,COUNTIF($F$7:F123,1)&gt;='設定'!C7,M123&gt;='設定'!D7),1000000,COUNTIF($F$7:F123,1)*100+MOD(0+30+'設定'!$F$3,6))</x:f>
        <x:v>1900</x:v>
      </x:c>
      <x:c r="H124" s="2" t="n">
        <x:f>IF(OR($D124=0,INDEX('希望休'!$B$7:$AF$12,2,$B124)&lt;&gt;"可",COUNTIFS($A$7:A123,$A124,$F$7:F123,2)&gt;0,COUNTIF($F$7:F123,2)&gt;='設定'!C8,N123&gt;='設定'!D8),1000000,COUNTIF($F$7:F123,2)*100+MOD(1+30+'設定'!$F$3,6))</x:f>
        <x:v>1901</x:v>
      </x:c>
      <x:c r="I124" s="2" t="n">
        <x:f>IF(OR($D124=0,INDEX('希望休'!$B$7:$AF$12,3,$B124)&lt;&gt;"可",COUNTIFS($A$7:A123,$A124,$F$7:F123,3)&gt;0,COUNTIF($F$7:F123,3)&gt;='設定'!C9,O123&gt;='設定'!D9),1000000,COUNTIF($F$7:F123,3)*100+MOD(2+30+'設定'!$F$3,6))</x:f>
        <x:v>2002</x:v>
      </x:c>
      <x:c r="J124" s="2" t="n">
        <x:f>IF(OR($D124=0,INDEX('希望休'!$B$7:$AF$12,4,$B124)&lt;&gt;"可",COUNTIFS($A$7:A123,$A124,$F$7:F123,4)&gt;0,COUNTIF($F$7:F123,4)&gt;='設定'!C10,P123&gt;='設定'!D10),1000000,COUNTIF($F$7:F123,4)*100+MOD(3+30+'設定'!$F$3,6))</x:f>
        <x:v>2003</x:v>
      </x:c>
      <x:c r="K124" s="2" t="n">
        <x:f>IF(OR($D124=0,INDEX('希望休'!$B$7:$AF$12,5,$B124)&lt;&gt;"可",COUNTIFS($A$7:A123,$A124,$F$7:F123,5)&gt;0,COUNTIF($F$7:F123,5)&gt;='設定'!C11,Q123&gt;='設定'!D11),1000000,COUNTIF($F$7:F123,5)*100+MOD(4+30+'設定'!$F$3,6))</x:f>
        <x:v>1904</x:v>
      </x:c>
      <x:c r="L124" s="2" t="n">
        <x:f>IF(OR($D124=0,INDEX('希望休'!$B$7:$AF$12,6,$B124)&lt;&gt;"可",COUNTIFS($A$7:A123,$A124,$F$7:F123,6)&gt;0,COUNTIF($F$7:F123,6)&gt;='設定'!C12,R123&gt;='設定'!D12),1000000,COUNTIF($F$7:F123,6)*100+MOD(5+30+'設定'!$F$3,6))</x:f>
        <x:v>1905</x:v>
      </x:c>
      <x:c r="M124" s="2" t="n">
        <x:f>IF($A124="",0,IF(COUNTIF($F$124:F124,1)&gt;0,M123+1,0))</x:f>
        <x:v>2</x:v>
      </x:c>
      <x:c r="N124" s="2" t="n">
        <x:f>IF($A124="",0,IF(COUNTIF($F$124:F124,2)&gt;0,N123+1,0))</x:f>
        <x:v>0</x:v>
      </x:c>
      <x:c r="O124" s="2" t="n">
        <x:f>IF($A124="",0,IF(COUNTIF($F$124:F124,3)&gt;0,O123+1,0))</x:f>
        <x:v>0</x:v>
      </x:c>
      <x:c r="P124" s="2" t="n">
        <x:f>IF($A124="",0,IF(COUNTIF($F$124:F124,4)&gt;0,P123+1,0))</x:f>
        <x:v>0</x:v>
      </x:c>
      <x:c r="Q124" s="2" t="n">
        <x:f>IF($A124="",0,IF(COUNTIF($F$124:F124,5)&gt;0,Q123+1,0))</x:f>
        <x:v>0</x:v>
      </x:c>
      <x:c r="R124" s="2" t="n">
        <x:f>IF($A124="",0,IF(COUNTIF($F$124:F124,6)&gt;0,R123+1,0))</x:f>
        <x:v>0</x:v>
      </x:c>
    </x:row>
    <x:row r="125" ht="24" customHeight="1">
      <x:c r="A125" s="15" t="n">
        <x:f>'設定'!AE16</x:f>
        <x:v>46295</x:v>
      </x:c>
      <x:c r="B125" s="2" t="n">
        <x:f>30</x:f>
        <x:v>30</x:v>
      </x:c>
      <x:c r="C125" s="2" t="str">
        <x:f>"早"</x:f>
        <x:v>早</x:v>
      </x:c>
      <x:c r="D125" s="2" t="n">
        <x:f>IF(AND('設定'!$B$21="入力OK",'設定'!AE16&lt;&gt;"",'設定'!AE17&gt;=2),1,0)</x:f>
        <x:v>1</x:v>
      </x:c>
      <x:c r="E125" s="2" t="str">
        <x:f>IF(D125=0,"",IF(F125=0,"不足",INDEX('設定'!$B$7:$B$12,F125)))</x:f>
        <x:v>スタッフB</x:v>
      </x:c>
      <x:c r="F125" s="2" t="n">
        <x:f>IF(D125=0,"",IF(MIN(G125:L125)&gt;=1000000,0,MATCH(MIN(G125:L125),G125:L125,0)))</x:f>
        <x:v>2</x:v>
      </x:c>
      <x:c r="G125" s="2" t="n">
        <x:f>IF(OR($D125=0,INDEX('希望休'!$B$7:$AF$12,1,$B125)&lt;&gt;"可",COUNTIFS($A$7:A124,$A125,$F$7:F124,1)&gt;0,COUNTIF($F$7:F124,1)&gt;='設定'!C7,M123&gt;='設定'!D7),1000000,COUNTIF($F$7:F124,1)*100+MOD(0+30+'設定'!$F$3,6))</x:f>
        <x:v>1000000</x:v>
      </x:c>
      <x:c r="H125" s="2" t="n">
        <x:f>IF(OR($D125=0,INDEX('希望休'!$B$7:$AF$12,2,$B125)&lt;&gt;"可",COUNTIFS($A$7:A124,$A125,$F$7:F124,2)&gt;0,COUNTIF($F$7:F124,2)&gt;='設定'!C8,N123&gt;='設定'!D8),1000000,COUNTIF($F$7:F124,2)*100+MOD(1+30+'設定'!$F$3,6))</x:f>
        <x:v>1901</x:v>
      </x:c>
      <x:c r="I125" s="2" t="n">
        <x:f>IF(OR($D125=0,INDEX('希望休'!$B$7:$AF$12,3,$B125)&lt;&gt;"可",COUNTIFS($A$7:A124,$A125,$F$7:F124,3)&gt;0,COUNTIF($F$7:F124,3)&gt;='設定'!C9,O123&gt;='設定'!D9),1000000,COUNTIF($F$7:F124,3)*100+MOD(2+30+'設定'!$F$3,6))</x:f>
        <x:v>2002</x:v>
      </x:c>
      <x:c r="J125" s="2" t="n">
        <x:f>IF(OR($D125=0,INDEX('希望休'!$B$7:$AF$12,4,$B125)&lt;&gt;"可",COUNTIFS($A$7:A124,$A125,$F$7:F124,4)&gt;0,COUNTIF($F$7:F124,4)&gt;='設定'!C10,P123&gt;='設定'!D10),1000000,COUNTIF($F$7:F124,4)*100+MOD(3+30+'設定'!$F$3,6))</x:f>
        <x:v>2003</x:v>
      </x:c>
      <x:c r="K125" s="2" t="n">
        <x:f>IF(OR($D125=0,INDEX('希望休'!$B$7:$AF$12,5,$B125)&lt;&gt;"可",COUNTIFS($A$7:A124,$A125,$F$7:F124,5)&gt;0,COUNTIF($F$7:F124,5)&gt;='設定'!C11,Q123&gt;='設定'!D11),1000000,COUNTIF($F$7:F124,5)*100+MOD(4+30+'設定'!$F$3,6))</x:f>
        <x:v>1904</x:v>
      </x:c>
      <x:c r="L125" s="2" t="n">
        <x:f>IF(OR($D125=0,INDEX('希望休'!$B$7:$AF$12,6,$B125)&lt;&gt;"可",COUNTIFS($A$7:A124,$A125,$F$7:F124,6)&gt;0,COUNTIF($F$7:F124,6)&gt;='設定'!C12,R123&gt;='設定'!D12),1000000,COUNTIF($F$7:F124,6)*100+MOD(5+30+'設定'!$F$3,6))</x:f>
        <x:v>1905</x:v>
      </x:c>
      <x:c r="M125" s="2" t="n">
        <x:f>IF($A125="",0,IF(COUNTIF($F$124:F125,1)&gt;0,M123+1,0))</x:f>
        <x:v>2</x:v>
      </x:c>
      <x:c r="N125" s="2" t="n">
        <x:f>IF($A125="",0,IF(COUNTIF($F$124:F125,2)&gt;0,N123+1,0))</x:f>
        <x:v>2</x:v>
      </x:c>
      <x:c r="O125" s="2" t="n">
        <x:f>IF($A125="",0,IF(COUNTIF($F$124:F125,3)&gt;0,O123+1,0))</x:f>
        <x:v>0</x:v>
      </x:c>
      <x:c r="P125" s="2" t="n">
        <x:f>IF($A125="",0,IF(COUNTIF($F$124:F125,4)&gt;0,P123+1,0))</x:f>
        <x:v>0</x:v>
      </x:c>
      <x:c r="Q125" s="2" t="n">
        <x:f>IF($A125="",0,IF(COUNTIF($F$124:F125,5)&gt;0,Q123+1,0))</x:f>
        <x:v>0</x:v>
      </x:c>
      <x:c r="R125" s="2" t="n">
        <x:f>IF($A125="",0,IF(COUNTIF($F$124:F125,6)&gt;0,R123+1,0))</x:f>
        <x:v>0</x:v>
      </x:c>
    </x:row>
    <x:row r="126" ht="24" customHeight="1">
      <x:c r="A126" s="15" t="n">
        <x:f>'設定'!AE16</x:f>
        <x:v>46295</x:v>
      </x:c>
      <x:c r="B126" s="2" t="n">
        <x:f>30</x:f>
        <x:v>30</x:v>
      </x:c>
      <x:c r="C126" s="2" t="str">
        <x:f>"遅"</x:f>
        <x:v>遅</x:v>
      </x:c>
      <x:c r="D126" s="2" t="n">
        <x:f>IF(AND('設定'!$B$21="入力OK",'設定'!AE16&lt;&gt;"",'設定'!AE18&gt;=1),1,0)</x:f>
        <x:v>1</x:v>
      </x:c>
      <x:c r="E126" s="2" t="str">
        <x:f>IF(D126=0,"",IF(F126=0,"不足",INDEX('設定'!$B$7:$B$12,F126)))</x:f>
        <x:v>スタッフE</x:v>
      </x:c>
      <x:c r="F126" s="2" t="n">
        <x:f>IF(D126=0,"",IF(MIN(G126:L126)&gt;=1000000,0,MATCH(MIN(G126:L126),G126:L126,0)))</x:f>
        <x:v>5</x:v>
      </x:c>
      <x:c r="G126" s="2" t="n">
        <x:f>IF(OR($D126=0,INDEX('希望休'!$B$7:$AF$12,1,$B126)&lt;&gt;"可",COUNTIFS($A$7:A125,$A126,$F$7:F125,1)&gt;0,COUNTIF($F$7:F125,1)&gt;='設定'!C7,M123&gt;='設定'!D7),1000000,COUNTIF($F$7:F125,1)*100+MOD(0+30+'設定'!$F$3,6))</x:f>
        <x:v>1000000</x:v>
      </x:c>
      <x:c r="H126" s="2" t="n">
        <x:f>IF(OR($D126=0,INDEX('希望休'!$B$7:$AF$12,2,$B126)&lt;&gt;"可",COUNTIFS($A$7:A125,$A126,$F$7:F125,2)&gt;0,COUNTIF($F$7:F125,2)&gt;='設定'!C8,N123&gt;='設定'!D8),1000000,COUNTIF($F$7:F125,2)*100+MOD(1+30+'設定'!$F$3,6))</x:f>
        <x:v>1000000</x:v>
      </x:c>
      <x:c r="I126" s="2" t="n">
        <x:f>IF(OR($D126=0,INDEX('希望休'!$B$7:$AF$12,3,$B126)&lt;&gt;"可",COUNTIFS($A$7:A125,$A126,$F$7:F125,3)&gt;0,COUNTIF($F$7:F125,3)&gt;='設定'!C9,O123&gt;='設定'!D9),1000000,COUNTIF($F$7:F125,3)*100+MOD(2+30+'設定'!$F$3,6))</x:f>
        <x:v>2002</x:v>
      </x:c>
      <x:c r="J126" s="2" t="n">
        <x:f>IF(OR($D126=0,INDEX('希望休'!$B$7:$AF$12,4,$B126)&lt;&gt;"可",COUNTIFS($A$7:A125,$A126,$F$7:F125,4)&gt;0,COUNTIF($F$7:F125,4)&gt;='設定'!C10,P123&gt;='設定'!D10),1000000,COUNTIF($F$7:F125,4)*100+MOD(3+30+'設定'!$F$3,6))</x:f>
        <x:v>2003</x:v>
      </x:c>
      <x:c r="K126" s="2" t="n">
        <x:f>IF(OR($D126=0,INDEX('希望休'!$B$7:$AF$12,5,$B126)&lt;&gt;"可",COUNTIFS($A$7:A125,$A126,$F$7:F125,5)&gt;0,COUNTIF($F$7:F125,5)&gt;='設定'!C11,Q123&gt;='設定'!D11),1000000,COUNTIF($F$7:F125,5)*100+MOD(4+30+'設定'!$F$3,6))</x:f>
        <x:v>1904</x:v>
      </x:c>
      <x:c r="L126" s="2" t="n">
        <x:f>IF(OR($D126=0,INDEX('希望休'!$B$7:$AF$12,6,$B126)&lt;&gt;"可",COUNTIFS($A$7:A125,$A126,$F$7:F125,6)&gt;0,COUNTIF($F$7:F125,6)&gt;='設定'!C12,R123&gt;='設定'!D12),1000000,COUNTIF($F$7:F125,6)*100+MOD(5+30+'設定'!$F$3,6))</x:f>
        <x:v>1905</x:v>
      </x:c>
      <x:c r="M126" s="2" t="n">
        <x:f>IF($A126="",0,IF(COUNTIF($F$124:F126,1)&gt;0,M123+1,0))</x:f>
        <x:v>2</x:v>
      </x:c>
      <x:c r="N126" s="2" t="n">
        <x:f>IF($A126="",0,IF(COUNTIF($F$124:F126,2)&gt;0,N123+1,0))</x:f>
        <x:v>2</x:v>
      </x:c>
      <x:c r="O126" s="2" t="n">
        <x:f>IF($A126="",0,IF(COUNTIF($F$124:F126,3)&gt;0,O123+1,0))</x:f>
        <x:v>0</x:v>
      </x:c>
      <x:c r="P126" s="2" t="n">
        <x:f>IF($A126="",0,IF(COUNTIF($F$124:F126,4)&gt;0,P123+1,0))</x:f>
        <x:v>0</x:v>
      </x:c>
      <x:c r="Q126" s="2" t="n">
        <x:f>IF($A126="",0,IF(COUNTIF($F$124:F126,5)&gt;0,Q123+1,0))</x:f>
        <x:v>1</x:v>
      </x:c>
      <x:c r="R126" s="2" t="n">
        <x:f>IF($A126="",0,IF(COUNTIF($F$124:F126,6)&gt;0,R123+1,0))</x:f>
        <x:v>0</x:v>
      </x:c>
    </x:row>
    <x:row r="127" ht="24" customHeight="1">
      <x:c r="A127" s="15" t="n">
        <x:f>'設定'!AE16</x:f>
        <x:v>46295</x:v>
      </x:c>
      <x:c r="B127" s="2" t="n">
        <x:f>30</x:f>
        <x:v>30</x:v>
      </x:c>
      <x:c r="C127" s="2" t="str">
        <x:f>"遅"</x:f>
        <x:v>遅</x:v>
      </x:c>
      <x:c r="D127" s="2" t="n">
        <x:f>IF(AND('設定'!$B$21="入力OK",'設定'!AE16&lt;&gt;"",'設定'!AE18&gt;=2),1,0)</x:f>
        <x:v>1</x:v>
      </x:c>
      <x:c r="E127" s="2" t="str">
        <x:f>IF(D127=0,"",IF(F127=0,"不足",INDEX('設定'!$B$7:$B$12,F127)))</x:f>
        <x:v>スタッフF</x:v>
      </x:c>
      <x:c r="F127" s="2" t="n">
        <x:f>IF(D127=0,"",IF(MIN(G127:L127)&gt;=1000000,0,MATCH(MIN(G127:L127),G127:L127,0)))</x:f>
        <x:v>6</x:v>
      </x:c>
      <x:c r="G127" s="2" t="n">
        <x:f>IF(OR($D127=0,INDEX('希望休'!$B$7:$AF$12,1,$B127)&lt;&gt;"可",COUNTIFS($A$7:A126,$A127,$F$7:F126,1)&gt;0,COUNTIF($F$7:F126,1)&gt;='設定'!C7,M123&gt;='設定'!D7),1000000,COUNTIF($F$7:F126,1)*100+MOD(0+30+'設定'!$F$3,6))</x:f>
        <x:v>1000000</x:v>
      </x:c>
      <x:c r="H127" s="2" t="n">
        <x:f>IF(OR($D127=0,INDEX('希望休'!$B$7:$AF$12,2,$B127)&lt;&gt;"可",COUNTIFS($A$7:A126,$A127,$F$7:F126,2)&gt;0,COUNTIF($F$7:F126,2)&gt;='設定'!C8,N123&gt;='設定'!D8),1000000,COUNTIF($F$7:F126,2)*100+MOD(1+30+'設定'!$F$3,6))</x:f>
        <x:v>1000000</x:v>
      </x:c>
      <x:c r="I127" s="2" t="n">
        <x:f>IF(OR($D127=0,INDEX('希望休'!$B$7:$AF$12,3,$B127)&lt;&gt;"可",COUNTIFS($A$7:A126,$A127,$F$7:F126,3)&gt;0,COUNTIF($F$7:F126,3)&gt;='設定'!C9,O123&gt;='設定'!D9),1000000,COUNTIF($F$7:F126,3)*100+MOD(2+30+'設定'!$F$3,6))</x:f>
        <x:v>2002</x:v>
      </x:c>
      <x:c r="J127" s="2" t="n">
        <x:f>IF(OR($D127=0,INDEX('希望休'!$B$7:$AF$12,4,$B127)&lt;&gt;"可",COUNTIFS($A$7:A126,$A127,$F$7:F126,4)&gt;0,COUNTIF($F$7:F126,4)&gt;='設定'!C10,P123&gt;='設定'!D10),1000000,COUNTIF($F$7:F126,4)*100+MOD(3+30+'設定'!$F$3,6))</x:f>
        <x:v>2003</x:v>
      </x:c>
      <x:c r="K127" s="2" t="n">
        <x:f>IF(OR($D127=0,INDEX('希望休'!$B$7:$AF$12,5,$B127)&lt;&gt;"可",COUNTIFS($A$7:A126,$A127,$F$7:F126,5)&gt;0,COUNTIF($F$7:F126,5)&gt;='設定'!C11,Q123&gt;='設定'!D11),1000000,COUNTIF($F$7:F126,5)*100+MOD(4+30+'設定'!$F$3,6))</x:f>
        <x:v>1000000</x:v>
      </x:c>
      <x:c r="L127" s="2" t="n">
        <x:f>IF(OR($D127=0,INDEX('希望休'!$B$7:$AF$12,6,$B127)&lt;&gt;"可",COUNTIFS($A$7:A126,$A127,$F$7:F126,6)&gt;0,COUNTIF($F$7:F126,6)&gt;='設定'!C12,R123&gt;='設定'!D12),1000000,COUNTIF($F$7:F126,6)*100+MOD(5+30+'設定'!$F$3,6))</x:f>
        <x:v>1905</x:v>
      </x:c>
      <x:c r="M127" s="2" t="n">
        <x:f>IF($A127="",0,IF(COUNTIF($F$124:F127,1)&gt;0,M123+1,0))</x:f>
        <x:v>2</x:v>
      </x:c>
      <x:c r="N127" s="2" t="n">
        <x:f>IF($A127="",0,IF(COUNTIF($F$124:F127,2)&gt;0,N123+1,0))</x:f>
        <x:v>2</x:v>
      </x:c>
      <x:c r="O127" s="2" t="n">
        <x:f>IF($A127="",0,IF(COUNTIF($F$124:F127,3)&gt;0,O123+1,0))</x:f>
        <x:v>0</x:v>
      </x:c>
      <x:c r="P127" s="2" t="n">
        <x:f>IF($A127="",0,IF(COUNTIF($F$124:F127,4)&gt;0,P123+1,0))</x:f>
        <x:v>0</x:v>
      </x:c>
      <x:c r="Q127" s="2" t="n">
        <x:f>IF($A127="",0,IF(COUNTIF($F$124:F127,5)&gt;0,Q123+1,0))</x:f>
        <x:v>1</x:v>
      </x:c>
      <x:c r="R127" s="2" t="n">
        <x:f>IF($A127="",0,IF(COUNTIF($F$124:F127,6)&gt;0,R123+1,0))</x:f>
        <x:v>1</x:v>
      </x:c>
    </x:row>
    <x:row r="128" ht="24" customHeight="1">
      <x:c r="A128" s="15" t="n">
        <x:f>'設定'!AF16</x:f>
        <x:v>0</x:v>
      </x:c>
      <x:c r="B128" s="2" t="n">
        <x:f>31</x:f>
        <x:v>31</x:v>
      </x:c>
      <x:c r="C128" s="2" t="str">
        <x:f>"早"</x:f>
        <x:v>早</x:v>
      </x:c>
      <x:c r="D128" s="2" t="n">
        <x:f>IF(AND('設定'!$B$21="入力OK",'設定'!AF16&lt;&gt;"",'設定'!AF17&gt;=1),1,0)</x:f>
        <x:v>0</x:v>
      </x:c>
      <x:c r="E128" s="2" t="str">
        <x:f>IF(D128=0,"",IF(F128=0,"不足",INDEX('設定'!$B$7:$B$12,F128)))</x:f>
      </x:c>
      <x:c r="F128" s="2" t="str">
        <x:f>IF(D128=0,"",IF(MIN(G128:L128)&gt;=1000000,0,MATCH(MIN(G128:L128),G128:L128,0)))</x:f>
      </x:c>
      <x:c r="G128" s="2" t="n">
        <x:f>IF(OR($D128=0,INDEX('希望休'!$B$7:$AF$12,1,$B128)&lt;&gt;"可",COUNTIFS($A$7:A127,$A128,$F$7:F127,1)&gt;0,COUNTIF($F$7:F127,1)&gt;='設定'!C7,M127&gt;='設定'!D7),1000000,COUNTIF($F$7:F127,1)*100+MOD(0+31+'設定'!$F$3,6))</x:f>
        <x:v>1000000</x:v>
      </x:c>
      <x:c r="H128" s="2" t="n">
        <x:f>IF(OR($D128=0,INDEX('希望休'!$B$7:$AF$12,2,$B128)&lt;&gt;"可",COUNTIFS($A$7:A127,$A128,$F$7:F127,2)&gt;0,COUNTIF($F$7:F127,2)&gt;='設定'!C8,N127&gt;='設定'!D8),1000000,COUNTIF($F$7:F127,2)*100+MOD(1+31+'設定'!$F$3,6))</x:f>
        <x:v>1000000</x:v>
      </x:c>
      <x:c r="I128" s="2" t="n">
        <x:f>IF(OR($D128=0,INDEX('希望休'!$B$7:$AF$12,3,$B128)&lt;&gt;"可",COUNTIFS($A$7:A127,$A128,$F$7:F127,3)&gt;0,COUNTIF($F$7:F127,3)&gt;='設定'!C9,O127&gt;='設定'!D9),1000000,COUNTIF($F$7:F127,3)*100+MOD(2+31+'設定'!$F$3,6))</x:f>
        <x:v>1000000</x:v>
      </x:c>
      <x:c r="J128" s="2" t="n">
        <x:f>IF(OR($D128=0,INDEX('希望休'!$B$7:$AF$12,4,$B128)&lt;&gt;"可",COUNTIFS($A$7:A127,$A128,$F$7:F127,4)&gt;0,COUNTIF($F$7:F127,4)&gt;='設定'!C10,P127&gt;='設定'!D10),1000000,COUNTIF($F$7:F127,4)*100+MOD(3+31+'設定'!$F$3,6))</x:f>
        <x:v>1000000</x:v>
      </x:c>
      <x:c r="K128" s="2" t="n">
        <x:f>IF(OR($D128=0,INDEX('希望休'!$B$7:$AF$12,5,$B128)&lt;&gt;"可",COUNTIFS($A$7:A127,$A128,$F$7:F127,5)&gt;0,COUNTIF($F$7:F127,5)&gt;='設定'!C11,Q127&gt;='設定'!D11),1000000,COUNTIF($F$7:F127,5)*100+MOD(4+31+'設定'!$F$3,6))</x:f>
        <x:v>1000000</x:v>
      </x:c>
      <x:c r="L128" s="2" t="n">
        <x:f>IF(OR($D128=0,INDEX('希望休'!$B$7:$AF$12,6,$B128)&lt;&gt;"可",COUNTIFS($A$7:A127,$A128,$F$7:F127,6)&gt;0,COUNTIF($F$7:F127,6)&gt;='設定'!C12,R127&gt;='設定'!D12),1000000,COUNTIF($F$7:F127,6)*100+MOD(5+31+'設定'!$F$3,6))</x:f>
        <x:v>1000000</x:v>
      </x:c>
      <x:c r="M128" s="2" t="n">
        <x:f>IF($A128="",0,IF(COUNTIF($F$128:F128,1)&gt;0,M127+1,0))</x:f>
        <x:v>0</x:v>
      </x:c>
      <x:c r="N128" s="2" t="n">
        <x:f>IF($A128="",0,IF(COUNTIF($F$128:F128,2)&gt;0,N127+1,0))</x:f>
        <x:v>0</x:v>
      </x:c>
      <x:c r="O128" s="2" t="n">
        <x:f>IF($A128="",0,IF(COUNTIF($F$128:F128,3)&gt;0,O127+1,0))</x:f>
        <x:v>0</x:v>
      </x:c>
      <x:c r="P128" s="2" t="n">
        <x:f>IF($A128="",0,IF(COUNTIF($F$128:F128,4)&gt;0,P127+1,0))</x:f>
        <x:v>0</x:v>
      </x:c>
      <x:c r="Q128" s="2" t="n">
        <x:f>IF($A128="",0,IF(COUNTIF($F$128:F128,5)&gt;0,Q127+1,0))</x:f>
        <x:v>0</x:v>
      </x:c>
      <x:c r="R128" s="2" t="n">
        <x:f>IF($A128="",0,IF(COUNTIF($F$128:F128,6)&gt;0,R127+1,0))</x:f>
        <x:v>0</x:v>
      </x:c>
    </x:row>
    <x:row r="129" ht="24" customHeight="1">
      <x:c r="A129" s="15" t="n">
        <x:f>'設定'!AF16</x:f>
        <x:v>0</x:v>
      </x:c>
      <x:c r="B129" s="2" t="n">
        <x:f>31</x:f>
        <x:v>31</x:v>
      </x:c>
      <x:c r="C129" s="2" t="str">
        <x:f>"早"</x:f>
        <x:v>早</x:v>
      </x:c>
      <x:c r="D129" s="2" t="n">
        <x:f>IF(AND('設定'!$B$21="入力OK",'設定'!AF16&lt;&gt;"",'設定'!AF17&gt;=2),1,0)</x:f>
        <x:v>0</x:v>
      </x:c>
      <x:c r="E129" s="2" t="str">
        <x:f>IF(D129=0,"",IF(F129=0,"不足",INDEX('設定'!$B$7:$B$12,F129)))</x:f>
      </x:c>
      <x:c r="F129" s="2" t="str">
        <x:f>IF(D129=0,"",IF(MIN(G129:L129)&gt;=1000000,0,MATCH(MIN(G129:L129),G129:L129,0)))</x:f>
      </x:c>
      <x:c r="G129" s="2" t="n">
        <x:f>IF(OR($D129=0,INDEX('希望休'!$B$7:$AF$12,1,$B129)&lt;&gt;"可",COUNTIFS($A$7:A128,$A129,$F$7:F128,1)&gt;0,COUNTIF($F$7:F128,1)&gt;='設定'!C7,M127&gt;='設定'!D7),1000000,COUNTIF($F$7:F128,1)*100+MOD(0+31+'設定'!$F$3,6))</x:f>
        <x:v>1000000</x:v>
      </x:c>
      <x:c r="H129" s="2" t="n">
        <x:f>IF(OR($D129=0,INDEX('希望休'!$B$7:$AF$12,2,$B129)&lt;&gt;"可",COUNTIFS($A$7:A128,$A129,$F$7:F128,2)&gt;0,COUNTIF($F$7:F128,2)&gt;='設定'!C8,N127&gt;='設定'!D8),1000000,COUNTIF($F$7:F128,2)*100+MOD(1+31+'設定'!$F$3,6))</x:f>
        <x:v>1000000</x:v>
      </x:c>
      <x:c r="I129" s="2" t="n">
        <x:f>IF(OR($D129=0,INDEX('希望休'!$B$7:$AF$12,3,$B129)&lt;&gt;"可",COUNTIFS($A$7:A128,$A129,$F$7:F128,3)&gt;0,COUNTIF($F$7:F128,3)&gt;='設定'!C9,O127&gt;='設定'!D9),1000000,COUNTIF($F$7:F128,3)*100+MOD(2+31+'設定'!$F$3,6))</x:f>
        <x:v>1000000</x:v>
      </x:c>
      <x:c r="J129" s="2" t="n">
        <x:f>IF(OR($D129=0,INDEX('希望休'!$B$7:$AF$12,4,$B129)&lt;&gt;"可",COUNTIFS($A$7:A128,$A129,$F$7:F128,4)&gt;0,COUNTIF($F$7:F128,4)&gt;='設定'!C10,P127&gt;='設定'!D10),1000000,COUNTIF($F$7:F128,4)*100+MOD(3+31+'設定'!$F$3,6))</x:f>
        <x:v>1000000</x:v>
      </x:c>
      <x:c r="K129" s="2" t="n">
        <x:f>IF(OR($D129=0,INDEX('希望休'!$B$7:$AF$12,5,$B129)&lt;&gt;"可",COUNTIFS($A$7:A128,$A129,$F$7:F128,5)&gt;0,COUNTIF($F$7:F128,5)&gt;='設定'!C11,Q127&gt;='設定'!D11),1000000,COUNTIF($F$7:F128,5)*100+MOD(4+31+'設定'!$F$3,6))</x:f>
        <x:v>1000000</x:v>
      </x:c>
      <x:c r="L129" s="2" t="n">
        <x:f>IF(OR($D129=0,INDEX('希望休'!$B$7:$AF$12,6,$B129)&lt;&gt;"可",COUNTIFS($A$7:A128,$A129,$F$7:F128,6)&gt;0,COUNTIF($F$7:F128,6)&gt;='設定'!C12,R127&gt;='設定'!D12),1000000,COUNTIF($F$7:F128,6)*100+MOD(5+31+'設定'!$F$3,6))</x:f>
        <x:v>1000000</x:v>
      </x:c>
      <x:c r="M129" s="2" t="n">
        <x:f>IF($A129="",0,IF(COUNTIF($F$128:F129,1)&gt;0,M127+1,0))</x:f>
        <x:v>0</x:v>
      </x:c>
      <x:c r="N129" s="2" t="n">
        <x:f>IF($A129="",0,IF(COUNTIF($F$128:F129,2)&gt;0,N127+1,0))</x:f>
        <x:v>0</x:v>
      </x:c>
      <x:c r="O129" s="2" t="n">
        <x:f>IF($A129="",0,IF(COUNTIF($F$128:F129,3)&gt;0,O127+1,0))</x:f>
        <x:v>0</x:v>
      </x:c>
      <x:c r="P129" s="2" t="n">
        <x:f>IF($A129="",0,IF(COUNTIF($F$128:F129,4)&gt;0,P127+1,0))</x:f>
        <x:v>0</x:v>
      </x:c>
      <x:c r="Q129" s="2" t="n">
        <x:f>IF($A129="",0,IF(COUNTIF($F$128:F129,5)&gt;0,Q127+1,0))</x:f>
        <x:v>0</x:v>
      </x:c>
      <x:c r="R129" s="2" t="n">
        <x:f>IF($A129="",0,IF(COUNTIF($F$128:F129,6)&gt;0,R127+1,0))</x:f>
        <x:v>0</x:v>
      </x:c>
    </x:row>
    <x:row r="130" ht="24" customHeight="1">
      <x:c r="A130" s="15" t="n">
        <x:f>'設定'!AF16</x:f>
        <x:v>0</x:v>
      </x:c>
      <x:c r="B130" s="2" t="n">
        <x:f>31</x:f>
        <x:v>31</x:v>
      </x:c>
      <x:c r="C130" s="2" t="str">
        <x:f>"遅"</x:f>
        <x:v>遅</x:v>
      </x:c>
      <x:c r="D130" s="2" t="n">
        <x:f>IF(AND('設定'!$B$21="入力OK",'設定'!AF16&lt;&gt;"",'設定'!AF18&gt;=1),1,0)</x:f>
        <x:v>0</x:v>
      </x:c>
      <x:c r="E130" s="2" t="str">
        <x:f>IF(D130=0,"",IF(F130=0,"不足",INDEX('設定'!$B$7:$B$12,F130)))</x:f>
      </x:c>
      <x:c r="F130" s="2" t="str">
        <x:f>IF(D130=0,"",IF(MIN(G130:L130)&gt;=1000000,0,MATCH(MIN(G130:L130),G130:L130,0)))</x:f>
      </x:c>
      <x:c r="G130" s="2" t="n">
        <x:f>IF(OR($D130=0,INDEX('希望休'!$B$7:$AF$12,1,$B130)&lt;&gt;"可",COUNTIFS($A$7:A129,$A130,$F$7:F129,1)&gt;0,COUNTIF($F$7:F129,1)&gt;='設定'!C7,M127&gt;='設定'!D7),1000000,COUNTIF($F$7:F129,1)*100+MOD(0+31+'設定'!$F$3,6))</x:f>
        <x:v>1000000</x:v>
      </x:c>
      <x:c r="H130" s="2" t="n">
        <x:f>IF(OR($D130=0,INDEX('希望休'!$B$7:$AF$12,2,$B130)&lt;&gt;"可",COUNTIFS($A$7:A129,$A130,$F$7:F129,2)&gt;0,COUNTIF($F$7:F129,2)&gt;='設定'!C8,N127&gt;='設定'!D8),1000000,COUNTIF($F$7:F129,2)*100+MOD(1+31+'設定'!$F$3,6))</x:f>
        <x:v>1000000</x:v>
      </x:c>
      <x:c r="I130" s="2" t="n">
        <x:f>IF(OR($D130=0,INDEX('希望休'!$B$7:$AF$12,3,$B130)&lt;&gt;"可",COUNTIFS($A$7:A129,$A130,$F$7:F129,3)&gt;0,COUNTIF($F$7:F129,3)&gt;='設定'!C9,O127&gt;='設定'!D9),1000000,COUNTIF($F$7:F129,3)*100+MOD(2+31+'設定'!$F$3,6))</x:f>
        <x:v>1000000</x:v>
      </x:c>
      <x:c r="J130" s="2" t="n">
        <x:f>IF(OR($D130=0,INDEX('希望休'!$B$7:$AF$12,4,$B130)&lt;&gt;"可",COUNTIFS($A$7:A129,$A130,$F$7:F129,4)&gt;0,COUNTIF($F$7:F129,4)&gt;='設定'!C10,P127&gt;='設定'!D10),1000000,COUNTIF($F$7:F129,4)*100+MOD(3+31+'設定'!$F$3,6))</x:f>
        <x:v>1000000</x:v>
      </x:c>
      <x:c r="K130" s="2" t="n">
        <x:f>IF(OR($D130=0,INDEX('希望休'!$B$7:$AF$12,5,$B130)&lt;&gt;"可",COUNTIFS($A$7:A129,$A130,$F$7:F129,5)&gt;0,COUNTIF($F$7:F129,5)&gt;='設定'!C11,Q127&gt;='設定'!D11),1000000,COUNTIF($F$7:F129,5)*100+MOD(4+31+'設定'!$F$3,6))</x:f>
        <x:v>1000000</x:v>
      </x:c>
      <x:c r="L130" s="2" t="n">
        <x:f>IF(OR($D130=0,INDEX('希望休'!$B$7:$AF$12,6,$B130)&lt;&gt;"可",COUNTIFS($A$7:A129,$A130,$F$7:F129,6)&gt;0,COUNTIF($F$7:F129,6)&gt;='設定'!C12,R127&gt;='設定'!D12),1000000,COUNTIF($F$7:F129,6)*100+MOD(5+31+'設定'!$F$3,6))</x:f>
        <x:v>1000000</x:v>
      </x:c>
      <x:c r="M130" s="2" t="n">
        <x:f>IF($A130="",0,IF(COUNTIF($F$128:F130,1)&gt;0,M127+1,0))</x:f>
        <x:v>0</x:v>
      </x:c>
      <x:c r="N130" s="2" t="n">
        <x:f>IF($A130="",0,IF(COUNTIF($F$128:F130,2)&gt;0,N127+1,0))</x:f>
        <x:v>0</x:v>
      </x:c>
      <x:c r="O130" s="2" t="n">
        <x:f>IF($A130="",0,IF(COUNTIF($F$128:F130,3)&gt;0,O127+1,0))</x:f>
        <x:v>0</x:v>
      </x:c>
      <x:c r="P130" s="2" t="n">
        <x:f>IF($A130="",0,IF(COUNTIF($F$128:F130,4)&gt;0,P127+1,0))</x:f>
        <x:v>0</x:v>
      </x:c>
      <x:c r="Q130" s="2" t="n">
        <x:f>IF($A130="",0,IF(COUNTIF($F$128:F130,5)&gt;0,Q127+1,0))</x:f>
        <x:v>0</x:v>
      </x:c>
      <x:c r="R130" s="2" t="n">
        <x:f>IF($A130="",0,IF(COUNTIF($F$128:F130,6)&gt;0,R127+1,0))</x:f>
        <x:v>0</x:v>
      </x:c>
    </x:row>
    <x:row r="131" ht="24" customHeight="1">
      <x:c r="A131" s="15" t="n">
        <x:f>'設定'!AF16</x:f>
        <x:v>0</x:v>
      </x:c>
      <x:c r="B131" s="2" t="n">
        <x:f>31</x:f>
        <x:v>31</x:v>
      </x:c>
      <x:c r="C131" s="2" t="str">
        <x:f>"遅"</x:f>
        <x:v>遅</x:v>
      </x:c>
      <x:c r="D131" s="2" t="n">
        <x:f>IF(AND('設定'!$B$21="入力OK",'設定'!AF16&lt;&gt;"",'設定'!AF18&gt;=2),1,0)</x:f>
        <x:v>0</x:v>
      </x:c>
      <x:c r="E131" s="2" t="str">
        <x:f>IF(D131=0,"",IF(F131=0,"不足",INDEX('設定'!$B$7:$B$12,F131)))</x:f>
      </x:c>
      <x:c r="F131" s="2" t="str">
        <x:f>IF(D131=0,"",IF(MIN(G131:L131)&gt;=1000000,0,MATCH(MIN(G131:L131),G131:L131,0)))</x:f>
      </x:c>
      <x:c r="G131" s="2" t="n">
        <x:f>IF(OR($D131=0,INDEX('希望休'!$B$7:$AF$12,1,$B131)&lt;&gt;"可",COUNTIFS($A$7:A130,$A131,$F$7:F130,1)&gt;0,COUNTIF($F$7:F130,1)&gt;='設定'!C7,M127&gt;='設定'!D7),1000000,COUNTIF($F$7:F130,1)*100+MOD(0+31+'設定'!$F$3,6))</x:f>
        <x:v>1000000</x:v>
      </x:c>
      <x:c r="H131" s="2" t="n">
        <x:f>IF(OR($D131=0,INDEX('希望休'!$B$7:$AF$12,2,$B131)&lt;&gt;"可",COUNTIFS($A$7:A130,$A131,$F$7:F130,2)&gt;0,COUNTIF($F$7:F130,2)&gt;='設定'!C8,N127&gt;='設定'!D8),1000000,COUNTIF($F$7:F130,2)*100+MOD(1+31+'設定'!$F$3,6))</x:f>
        <x:v>1000000</x:v>
      </x:c>
      <x:c r="I131" s="2" t="n">
        <x:f>IF(OR($D131=0,INDEX('希望休'!$B$7:$AF$12,3,$B131)&lt;&gt;"可",COUNTIFS($A$7:A130,$A131,$F$7:F130,3)&gt;0,COUNTIF($F$7:F130,3)&gt;='設定'!C9,O127&gt;='設定'!D9),1000000,COUNTIF($F$7:F130,3)*100+MOD(2+31+'設定'!$F$3,6))</x:f>
        <x:v>1000000</x:v>
      </x:c>
      <x:c r="J131" s="2" t="n">
        <x:f>IF(OR($D131=0,INDEX('希望休'!$B$7:$AF$12,4,$B131)&lt;&gt;"可",COUNTIFS($A$7:A130,$A131,$F$7:F130,4)&gt;0,COUNTIF($F$7:F130,4)&gt;='設定'!C10,P127&gt;='設定'!D10),1000000,COUNTIF($F$7:F130,4)*100+MOD(3+31+'設定'!$F$3,6))</x:f>
        <x:v>1000000</x:v>
      </x:c>
      <x:c r="K131" s="2" t="n">
        <x:f>IF(OR($D131=0,INDEX('希望休'!$B$7:$AF$12,5,$B131)&lt;&gt;"可",COUNTIFS($A$7:A130,$A131,$F$7:F130,5)&gt;0,COUNTIF($F$7:F130,5)&gt;='設定'!C11,Q127&gt;='設定'!D11),1000000,COUNTIF($F$7:F130,5)*100+MOD(4+31+'設定'!$F$3,6))</x:f>
        <x:v>1000000</x:v>
      </x:c>
      <x:c r="L131" s="2" t="n">
        <x:f>IF(OR($D131=0,INDEX('希望休'!$B$7:$AF$12,6,$B131)&lt;&gt;"可",COUNTIFS($A$7:A130,$A131,$F$7:F130,6)&gt;0,COUNTIF($F$7:F130,6)&gt;='設定'!C12,R127&gt;='設定'!D12),1000000,COUNTIF($F$7:F130,6)*100+MOD(5+31+'設定'!$F$3,6))</x:f>
        <x:v>1000000</x:v>
      </x:c>
      <x:c r="M131" s="2" t="n">
        <x:f>IF($A131="",0,IF(COUNTIF($F$128:F131,1)&gt;0,M127+1,0))</x:f>
        <x:v>0</x:v>
      </x:c>
      <x:c r="N131" s="2" t="n">
        <x:f>IF($A131="",0,IF(COUNTIF($F$128:F131,2)&gt;0,N127+1,0))</x:f>
        <x:v>0</x:v>
      </x:c>
      <x:c r="O131" s="2" t="n">
        <x:f>IF($A131="",0,IF(COUNTIF($F$128:F131,3)&gt;0,O127+1,0))</x:f>
        <x:v>0</x:v>
      </x:c>
      <x:c r="P131" s="2" t="n">
        <x:f>IF($A131="",0,IF(COUNTIF($F$128:F131,4)&gt;0,P127+1,0))</x:f>
        <x:v>0</x:v>
      </x:c>
      <x:c r="Q131" s="2" t="n">
        <x:f>IF($A131="",0,IF(COUNTIF($F$128:F131,5)&gt;0,Q127+1,0))</x:f>
        <x:v>0</x:v>
      </x:c>
      <x:c r="R131" s="2" t="n">
        <x:f>IF($A131="",0,IF(COUNTIF($F$128:F131,6)&gt;0,R127+1,0))</x:f>
        <x:v>0</x:v>
      </x:c>
    </x:row>
    <x:row r="132" ht="24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</x:row>
    <x:row r="133" ht="24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</x:row>
    <x:row r="134" ht="24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</x:row>
    <x:row r="135" ht="24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</x:row>
  </x:sheetData>
  <x:mergeCells>
    <x:mergeCell ref="A1:J2"/>
    <x:mergeCell ref="A4:J4"/>
  </x:mergeCells>
  <x:pageMargins left="0.7" right="0.7" top="0.75" bottom="0.75" header="0.3" footer="0.3"/>
</x:worksheet>
</file>